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wnloads\"/>
    </mc:Choice>
  </mc:AlternateContent>
  <xr:revisionPtr revIDLastSave="0" documentId="13_ncr:1_{F2187E5B-0735-4DF2-B544-338C7108793C}" xr6:coauthVersionLast="47" xr6:coauthVersionMax="47" xr10:uidLastSave="{00000000-0000-0000-0000-000000000000}"/>
  <bookViews>
    <workbookView xWindow="-120" yWindow="-120" windowWidth="20730" windowHeight="11160" firstSheet="4" activeTab="9" xr2:uid="{00000000-000D-0000-FFFF-FFFF00000000}"/>
  </bookViews>
  <sheets>
    <sheet name="RENDEMEN" sheetId="1" r:id="rId1"/>
    <sheet name="VIT C" sheetId="2" r:id="rId2"/>
    <sheet name="KADAR AIR" sheetId="3" r:id="rId3"/>
    <sheet name="KELARUTAN" sheetId="4" r:id="rId4"/>
    <sheet name="WARNA L" sheetId="5" r:id="rId5"/>
    <sheet name="WARNA A" sheetId="6" r:id="rId6"/>
    <sheet name="WARNA B" sheetId="7" r:id="rId7"/>
    <sheet name="ANTIOKSIDAN" sheetId="10" r:id="rId8"/>
    <sheet name="ORGANOLEPTIK" sheetId="12" r:id="rId9"/>
    <sheet name="RENDEMEN FIX" sheetId="13" r:id="rId10"/>
  </sheets>
  <calcPr calcId="191029"/>
</workbook>
</file>

<file path=xl/calcChain.xml><?xml version="1.0" encoding="utf-8"?>
<calcChain xmlns="http://schemas.openxmlformats.org/spreadsheetml/2006/main">
  <c r="B42" i="13" l="1"/>
  <c r="B41" i="13"/>
  <c r="B40" i="13"/>
  <c r="B39" i="13"/>
  <c r="B38" i="13"/>
  <c r="B37" i="13"/>
  <c r="D14" i="13"/>
  <c r="C14" i="13"/>
  <c r="B14" i="13"/>
  <c r="D13" i="13"/>
  <c r="C13" i="13"/>
  <c r="B13" i="13"/>
  <c r="F12" i="13"/>
  <c r="C74" i="13" s="1"/>
  <c r="F67" i="13" s="1"/>
  <c r="E12" i="13"/>
  <c r="D26" i="13" s="1"/>
  <c r="F11" i="13"/>
  <c r="C73" i="13" s="1"/>
  <c r="F68" i="13" s="1"/>
  <c r="E11" i="13"/>
  <c r="C26" i="13" s="1"/>
  <c r="F10" i="13"/>
  <c r="C72" i="13" s="1"/>
  <c r="F66" i="13" s="1"/>
  <c r="E10" i="13"/>
  <c r="B26" i="13" s="1"/>
  <c r="E26" i="13" s="1"/>
  <c r="F26" i="13" s="1"/>
  <c r="C53" i="13" s="1"/>
  <c r="F51" i="13" s="1"/>
  <c r="F9" i="13"/>
  <c r="C71" i="13" s="1"/>
  <c r="F73" i="13" s="1"/>
  <c r="E9" i="13"/>
  <c r="D25" i="13" s="1"/>
  <c r="F8" i="13"/>
  <c r="C70" i="13" s="1"/>
  <c r="F74" i="13" s="1"/>
  <c r="E8" i="13"/>
  <c r="C25" i="13" s="1"/>
  <c r="F7" i="13"/>
  <c r="C69" i="13" s="1"/>
  <c r="F69" i="13" s="1"/>
  <c r="E7" i="13"/>
  <c r="B25" i="13" s="1"/>
  <c r="E25" i="13" s="1"/>
  <c r="F25" i="13" s="1"/>
  <c r="C52" i="13" s="1"/>
  <c r="F53" i="13" s="1"/>
  <c r="F6" i="13"/>
  <c r="C68" i="13" s="1"/>
  <c r="F71" i="13" s="1"/>
  <c r="E6" i="13"/>
  <c r="D24" i="13" s="1"/>
  <c r="D27" i="13" s="1"/>
  <c r="D28" i="13" s="1"/>
  <c r="C61" i="13" s="1"/>
  <c r="F60" i="13" s="1"/>
  <c r="F5" i="13"/>
  <c r="C67" i="13" s="1"/>
  <c r="F72" i="13" s="1"/>
  <c r="E5" i="13"/>
  <c r="C24" i="13" s="1"/>
  <c r="C27" i="13" s="1"/>
  <c r="C28" i="13" s="1"/>
  <c r="C60" i="13" s="1"/>
  <c r="F61" i="13" s="1"/>
  <c r="F4" i="13"/>
  <c r="C66" i="13" s="1"/>
  <c r="F70" i="13" s="1"/>
  <c r="E4" i="13"/>
  <c r="B24" i="13" l="1"/>
  <c r="E13" i="13"/>
  <c r="B16" i="13" s="1"/>
  <c r="B43" i="13"/>
  <c r="G37" i="13"/>
  <c r="F37" i="13"/>
  <c r="G38" i="13"/>
  <c r="F38" i="13"/>
  <c r="G39" i="13"/>
  <c r="F39" i="13"/>
  <c r="G40" i="13"/>
  <c r="F40" i="13"/>
  <c r="G41" i="13"/>
  <c r="F41" i="13"/>
  <c r="B17" i="13" l="1"/>
  <c r="B19" i="13"/>
  <c r="B18" i="13"/>
  <c r="C37" i="13" s="1"/>
  <c r="D37" i="13" s="1"/>
  <c r="B27" i="13"/>
  <c r="E24" i="13"/>
  <c r="B30" i="13" l="1"/>
  <c r="C39" i="13" s="1"/>
  <c r="D39" i="13" s="1"/>
  <c r="F24" i="13"/>
  <c r="C51" i="13" s="1"/>
  <c r="F52" i="13" s="1"/>
  <c r="B31" i="13"/>
  <c r="C40" i="13" s="1"/>
  <c r="D40" i="13" s="1"/>
  <c r="B28" i="13"/>
  <c r="C59" i="13" s="1"/>
  <c r="F59" i="13" s="1"/>
  <c r="E27" i="13"/>
  <c r="C38" i="13"/>
  <c r="D38" i="13" s="1"/>
  <c r="B32" i="13"/>
  <c r="C41" i="13" s="1"/>
  <c r="D41" i="13" s="1"/>
  <c r="C43" i="13"/>
  <c r="D43" i="13" s="1"/>
  <c r="B20" i="13"/>
  <c r="C42" i="13" s="1"/>
  <c r="D42" i="13" s="1"/>
  <c r="J66" i="13" l="1"/>
  <c r="J68" i="13" s="1"/>
  <c r="J59" i="13"/>
  <c r="J61" i="13" s="1"/>
  <c r="G60" i="13" s="1"/>
  <c r="J51" i="13"/>
  <c r="J53" i="13" s="1"/>
  <c r="G51" i="13" s="1"/>
  <c r="E37" i="13"/>
  <c r="E41" i="13"/>
  <c r="E38" i="13"/>
  <c r="G59" i="13"/>
  <c r="E40" i="13"/>
  <c r="G52" i="13"/>
  <c r="E39" i="13"/>
  <c r="G66" i="13" l="1"/>
  <c r="G67" i="13"/>
  <c r="Z135" i="12" l="1"/>
  <c r="Z134" i="12"/>
  <c r="Z133" i="12"/>
  <c r="Z132" i="12"/>
  <c r="Z131" i="12"/>
  <c r="Z130" i="12"/>
  <c r="Z129" i="12"/>
  <c r="Z128" i="12"/>
  <c r="Z127" i="12"/>
  <c r="AA124" i="12"/>
  <c r="AL125" i="12"/>
  <c r="AG123" i="12"/>
  <c r="AG115" i="12"/>
  <c r="AL89" i="12"/>
  <c r="AG88" i="12"/>
  <c r="AG80" i="12"/>
  <c r="AL53" i="12"/>
  <c r="AG51" i="12"/>
  <c r="AG45" i="12"/>
  <c r="AJ16" i="12" l="1"/>
  <c r="AE15" i="12" l="1"/>
  <c r="AA4" i="12"/>
  <c r="AE9" i="12"/>
  <c r="G7" i="5" l="1"/>
  <c r="G6" i="5"/>
  <c r="Z59" i="5" l="1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AA4" i="6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Z6" i="7"/>
  <c r="Z5" i="7"/>
  <c r="Z4" i="7"/>
  <c r="Z13" i="5" l="1"/>
  <c r="C45" i="5"/>
  <c r="F50" i="5" s="1"/>
  <c r="C44" i="5"/>
  <c r="F45" i="5" s="1"/>
  <c r="J36" i="5"/>
  <c r="AA29" i="1" l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F10" i="6" l="1"/>
  <c r="C13" i="5"/>
  <c r="H4" i="10" l="1"/>
  <c r="H4" i="5"/>
  <c r="H5" i="10"/>
  <c r="H6" i="10"/>
  <c r="H7" i="10"/>
  <c r="H8" i="10"/>
  <c r="H9" i="10"/>
  <c r="H10" i="10"/>
  <c r="H11" i="10"/>
  <c r="H12" i="10"/>
  <c r="AA110" i="12" l="1"/>
  <c r="AA75" i="12"/>
  <c r="AA40" i="12"/>
  <c r="V110" i="12" l="1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09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74" i="12"/>
  <c r="AB26" i="3" l="1"/>
  <c r="AB29" i="3"/>
  <c r="AB28" i="3"/>
  <c r="AB27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B4" i="3"/>
  <c r="AB3" i="3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39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4" i="12"/>
  <c r="N140" i="12"/>
  <c r="O140" i="12"/>
  <c r="P140" i="12"/>
  <c r="Q140" i="12"/>
  <c r="R140" i="12"/>
  <c r="S140" i="12"/>
  <c r="T140" i="12"/>
  <c r="U140" i="12"/>
  <c r="M140" i="12"/>
  <c r="N139" i="12"/>
  <c r="AB116" i="12" s="1"/>
  <c r="AB133" i="12" s="1"/>
  <c r="O139" i="12"/>
  <c r="AB117" i="12" s="1"/>
  <c r="AB132" i="12" s="1"/>
  <c r="P139" i="12"/>
  <c r="AB118" i="12" s="1"/>
  <c r="AB131" i="12" s="1"/>
  <c r="AC131" i="12" s="1"/>
  <c r="Q139" i="12"/>
  <c r="AB119" i="12" s="1"/>
  <c r="AB129" i="12" s="1"/>
  <c r="AC129" i="12" s="1"/>
  <c r="R139" i="12"/>
  <c r="AB120" i="12" s="1"/>
  <c r="AB128" i="12" s="1"/>
  <c r="AC128" i="12" s="1"/>
  <c r="S139" i="12"/>
  <c r="AB121" i="12" s="1"/>
  <c r="AB127" i="12" s="1"/>
  <c r="AC127" i="12" s="1"/>
  <c r="T139" i="12"/>
  <c r="AB122" i="12" s="1"/>
  <c r="AB135" i="12" s="1"/>
  <c r="U139" i="12"/>
  <c r="AB123" i="12" s="1"/>
  <c r="AB134" i="12" s="1"/>
  <c r="M139" i="12"/>
  <c r="C140" i="12"/>
  <c r="AA119" i="12" s="1"/>
  <c r="AA129" i="12" s="1"/>
  <c r="D140" i="12"/>
  <c r="AA120" i="12" s="1"/>
  <c r="AA128" i="12" s="1"/>
  <c r="E140" i="12"/>
  <c r="AA121" i="12" s="1"/>
  <c r="AA127" i="12" s="1"/>
  <c r="F140" i="12"/>
  <c r="AA122" i="12" s="1"/>
  <c r="AA135" i="12" s="1"/>
  <c r="G140" i="12"/>
  <c r="AA123" i="12" s="1"/>
  <c r="AA134" i="12" s="1"/>
  <c r="H140" i="12"/>
  <c r="AA115" i="12" s="1"/>
  <c r="AA130" i="12" s="1"/>
  <c r="I140" i="12"/>
  <c r="AA116" i="12" s="1"/>
  <c r="AA133" i="12" s="1"/>
  <c r="J140" i="12"/>
  <c r="AA117" i="12" s="1"/>
  <c r="AA132" i="12" s="1"/>
  <c r="B140" i="12"/>
  <c r="AA118" i="12" s="1"/>
  <c r="AA131" i="12" s="1"/>
  <c r="C139" i="12"/>
  <c r="D139" i="12"/>
  <c r="E139" i="12"/>
  <c r="F139" i="12"/>
  <c r="G139" i="12"/>
  <c r="H139" i="12"/>
  <c r="I139" i="12"/>
  <c r="J139" i="12"/>
  <c r="B139" i="12"/>
  <c r="N105" i="12"/>
  <c r="O105" i="12"/>
  <c r="P105" i="12"/>
  <c r="Q105" i="12"/>
  <c r="R105" i="12"/>
  <c r="S105" i="12"/>
  <c r="T105" i="12"/>
  <c r="U105" i="12"/>
  <c r="M105" i="12"/>
  <c r="N104" i="12"/>
  <c r="AB81" i="12" s="1"/>
  <c r="O104" i="12"/>
  <c r="AB82" i="12" s="1"/>
  <c r="P104" i="12"/>
  <c r="AB83" i="12" s="1"/>
  <c r="Q104" i="12"/>
  <c r="AB84" i="12" s="1"/>
  <c r="R104" i="12"/>
  <c r="AB85" i="12" s="1"/>
  <c r="S104" i="12"/>
  <c r="AB86" i="12" s="1"/>
  <c r="T104" i="12"/>
  <c r="AB87" i="12" s="1"/>
  <c r="U104" i="12"/>
  <c r="AB88" i="12" s="1"/>
  <c r="M104" i="12"/>
  <c r="C105" i="12"/>
  <c r="AA84" i="12" s="1"/>
  <c r="D105" i="12"/>
  <c r="AA85" i="12" s="1"/>
  <c r="E105" i="12"/>
  <c r="AA86" i="12" s="1"/>
  <c r="F105" i="12"/>
  <c r="AA87" i="12" s="1"/>
  <c r="G105" i="12"/>
  <c r="AA88" i="12" s="1"/>
  <c r="H105" i="12"/>
  <c r="AA80" i="12" s="1"/>
  <c r="I105" i="12"/>
  <c r="AA81" i="12" s="1"/>
  <c r="J105" i="12"/>
  <c r="AA82" i="12" s="1"/>
  <c r="B105" i="12"/>
  <c r="AA83" i="12" s="1"/>
  <c r="C104" i="12"/>
  <c r="D104" i="12"/>
  <c r="E104" i="12"/>
  <c r="F104" i="12"/>
  <c r="G104" i="12"/>
  <c r="H104" i="12"/>
  <c r="I104" i="12"/>
  <c r="J104" i="12"/>
  <c r="B104" i="12"/>
  <c r="U70" i="12"/>
  <c r="N70" i="12"/>
  <c r="O70" i="12"/>
  <c r="P70" i="12"/>
  <c r="Q70" i="12"/>
  <c r="R70" i="12"/>
  <c r="S70" i="12"/>
  <c r="T70" i="12"/>
  <c r="M70" i="12"/>
  <c r="N69" i="12"/>
  <c r="AB46" i="12" s="1"/>
  <c r="O69" i="12"/>
  <c r="AB47" i="12" s="1"/>
  <c r="P69" i="12"/>
  <c r="AB48" i="12" s="1"/>
  <c r="Q69" i="12"/>
  <c r="AB49" i="12" s="1"/>
  <c r="R69" i="12"/>
  <c r="AB50" i="12" s="1"/>
  <c r="S69" i="12"/>
  <c r="AB51" i="12" s="1"/>
  <c r="T69" i="12"/>
  <c r="AB52" i="12" s="1"/>
  <c r="U69" i="12"/>
  <c r="AB53" i="12" s="1"/>
  <c r="M69" i="12"/>
  <c r="J69" i="12"/>
  <c r="C70" i="12"/>
  <c r="AA49" i="12" s="1"/>
  <c r="D70" i="12"/>
  <c r="AA50" i="12" s="1"/>
  <c r="E70" i="12"/>
  <c r="AA51" i="12" s="1"/>
  <c r="F70" i="12"/>
  <c r="AA52" i="12" s="1"/>
  <c r="G70" i="12"/>
  <c r="AA53" i="12" s="1"/>
  <c r="H70" i="12"/>
  <c r="AA45" i="12" s="1"/>
  <c r="I70" i="12"/>
  <c r="AA46" i="12" s="1"/>
  <c r="J70" i="12"/>
  <c r="AA47" i="12" s="1"/>
  <c r="B70" i="12"/>
  <c r="AA48" i="12" s="1"/>
  <c r="C69" i="12"/>
  <c r="D69" i="12"/>
  <c r="E69" i="12"/>
  <c r="F69" i="12"/>
  <c r="G69" i="12"/>
  <c r="H69" i="12"/>
  <c r="I69" i="12"/>
  <c r="B69" i="12"/>
  <c r="N35" i="12"/>
  <c r="O35" i="12"/>
  <c r="P35" i="12"/>
  <c r="Q35" i="12"/>
  <c r="R35" i="12"/>
  <c r="S35" i="12"/>
  <c r="T35" i="12"/>
  <c r="U35" i="12"/>
  <c r="M35" i="12"/>
  <c r="N34" i="12"/>
  <c r="AB10" i="12" s="1"/>
  <c r="O34" i="12"/>
  <c r="AB11" i="12" s="1"/>
  <c r="P34" i="12"/>
  <c r="AB12" i="12" s="1"/>
  <c r="Q34" i="12"/>
  <c r="AB13" i="12" s="1"/>
  <c r="R34" i="12"/>
  <c r="AB14" i="12" s="1"/>
  <c r="S34" i="12"/>
  <c r="AB15" i="12" s="1"/>
  <c r="T34" i="12"/>
  <c r="AB16" i="12" s="1"/>
  <c r="U34" i="12"/>
  <c r="AB17" i="12" s="1"/>
  <c r="M34" i="12"/>
  <c r="AA3" i="12" s="1"/>
  <c r="C35" i="12"/>
  <c r="AA13" i="12" s="1"/>
  <c r="D35" i="12"/>
  <c r="AA14" i="12" s="1"/>
  <c r="E35" i="12"/>
  <c r="AA15" i="12" s="1"/>
  <c r="F35" i="12"/>
  <c r="AA16" i="12" s="1"/>
  <c r="G35" i="12"/>
  <c r="AA17" i="12" s="1"/>
  <c r="H35" i="12"/>
  <c r="AA9" i="12" s="1"/>
  <c r="I35" i="12"/>
  <c r="AA10" i="12" s="1"/>
  <c r="J35" i="12"/>
  <c r="AA11" i="12" s="1"/>
  <c r="B35" i="12"/>
  <c r="AA12" i="12" s="1"/>
  <c r="C34" i="12"/>
  <c r="D34" i="12"/>
  <c r="E34" i="12"/>
  <c r="F34" i="12"/>
  <c r="G34" i="12"/>
  <c r="H34" i="12"/>
  <c r="I34" i="12"/>
  <c r="J34" i="12"/>
  <c r="B34" i="12"/>
  <c r="AB9" i="12" l="1"/>
  <c r="AE11" i="12" s="1"/>
  <c r="AJ9" i="12" s="1"/>
  <c r="AH14" i="12" s="1"/>
  <c r="AA39" i="12"/>
  <c r="AB45" i="12"/>
  <c r="AG47" i="12" s="1"/>
  <c r="AL45" i="12" s="1"/>
  <c r="AJ51" i="12" s="1"/>
  <c r="AB80" i="12"/>
  <c r="AG84" i="12" s="1"/>
  <c r="AL80" i="12" s="1"/>
  <c r="AJ88" i="12" s="1"/>
  <c r="AA74" i="12"/>
  <c r="AB115" i="12"/>
  <c r="AA109" i="12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2" i="5"/>
  <c r="Z11" i="5"/>
  <c r="Z10" i="5"/>
  <c r="Z9" i="5"/>
  <c r="Z8" i="5"/>
  <c r="Z7" i="5"/>
  <c r="Z6" i="5"/>
  <c r="Z5" i="5"/>
  <c r="Z4" i="5"/>
  <c r="Z3" i="5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Z3" i="4"/>
  <c r="AA29" i="2"/>
  <c r="AA28" i="2"/>
  <c r="AA27" i="2"/>
  <c r="AA26" i="2"/>
  <c r="AA25" i="2"/>
  <c r="AA24" i="2"/>
  <c r="AA23" i="2"/>
  <c r="AA22" i="2"/>
  <c r="AA21" i="2"/>
  <c r="AA20" i="2"/>
  <c r="AA19" i="2"/>
  <c r="AA18" i="2"/>
  <c r="AA16" i="2"/>
  <c r="AA15" i="2"/>
  <c r="AA17" i="2"/>
  <c r="AA14" i="2"/>
  <c r="AA13" i="2"/>
  <c r="AA12" i="2"/>
  <c r="AA11" i="2"/>
  <c r="AA10" i="2"/>
  <c r="AA9" i="2"/>
  <c r="AA8" i="2"/>
  <c r="AA7" i="2"/>
  <c r="AA6" i="2"/>
  <c r="AA5" i="2"/>
  <c r="AA4" i="2"/>
  <c r="AA3" i="2"/>
  <c r="AB130" i="12" l="1"/>
  <c r="AC130" i="12" s="1"/>
  <c r="AG119" i="12"/>
  <c r="AL115" i="12" s="1"/>
  <c r="AJ123" i="12" s="1"/>
  <c r="U25" i="10"/>
  <c r="U26" i="10"/>
  <c r="U27" i="10"/>
  <c r="U28" i="10"/>
  <c r="U29" i="10"/>
  <c r="U30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U6" i="10"/>
  <c r="U5" i="10"/>
  <c r="U4" i="10"/>
  <c r="J19" i="10" l="1"/>
  <c r="J18" i="10"/>
  <c r="J17" i="10"/>
  <c r="J16" i="10"/>
  <c r="N16" i="10" s="1"/>
  <c r="J15" i="10"/>
  <c r="J14" i="10"/>
  <c r="N14" i="10" s="1"/>
  <c r="J13" i="10"/>
  <c r="E14" i="10"/>
  <c r="D14" i="10"/>
  <c r="C14" i="10"/>
  <c r="E13" i="10"/>
  <c r="D13" i="10"/>
  <c r="C13" i="10"/>
  <c r="G12" i="10"/>
  <c r="C51" i="10" s="1"/>
  <c r="F43" i="10" s="1"/>
  <c r="F12" i="10"/>
  <c r="E22" i="10" s="1"/>
  <c r="G11" i="10"/>
  <c r="C50" i="10" s="1"/>
  <c r="F51" i="10" s="1"/>
  <c r="F11" i="10"/>
  <c r="D22" i="10" s="1"/>
  <c r="G10" i="10"/>
  <c r="C49" i="10" s="1"/>
  <c r="F45" i="10" s="1"/>
  <c r="F10" i="10"/>
  <c r="C22" i="10" s="1"/>
  <c r="G9" i="10"/>
  <c r="C48" i="10" s="1"/>
  <c r="F44" i="10" s="1"/>
  <c r="F9" i="10"/>
  <c r="E21" i="10" s="1"/>
  <c r="G8" i="10"/>
  <c r="C47" i="10" s="1"/>
  <c r="F50" i="10" s="1"/>
  <c r="F8" i="10"/>
  <c r="D21" i="10" s="1"/>
  <c r="G7" i="10"/>
  <c r="C46" i="10" s="1"/>
  <c r="F47" i="10" s="1"/>
  <c r="F7" i="10"/>
  <c r="C21" i="10" s="1"/>
  <c r="G6" i="10"/>
  <c r="C45" i="10" s="1"/>
  <c r="F46" i="10" s="1"/>
  <c r="F6" i="10"/>
  <c r="E20" i="10" s="1"/>
  <c r="G5" i="10"/>
  <c r="C44" i="10" s="1"/>
  <c r="F48" i="10" s="1"/>
  <c r="F5" i="10"/>
  <c r="D20" i="10" s="1"/>
  <c r="G4" i="10"/>
  <c r="C43" i="10" s="1"/>
  <c r="F49" i="10" s="1"/>
  <c r="F4" i="10"/>
  <c r="C20" i="10" s="1"/>
  <c r="O17" i="10" l="1"/>
  <c r="D23" i="10"/>
  <c r="D24" i="10" s="1"/>
  <c r="C36" i="10" s="1"/>
  <c r="F37" i="10" s="1"/>
  <c r="F22" i="10"/>
  <c r="G22" i="10" s="1"/>
  <c r="C30" i="10" s="1"/>
  <c r="F29" i="10" s="1"/>
  <c r="F20" i="10"/>
  <c r="G20" i="10" s="1"/>
  <c r="C28" i="10" s="1"/>
  <c r="F28" i="10" s="1"/>
  <c r="C23" i="10"/>
  <c r="E23" i="10"/>
  <c r="E24" i="10" s="1"/>
  <c r="C37" i="10" s="1"/>
  <c r="F35" i="10" s="1"/>
  <c r="F21" i="10"/>
  <c r="G21" i="10" s="1"/>
  <c r="C29" i="10" s="1"/>
  <c r="F30" i="10" s="1"/>
  <c r="O13" i="10"/>
  <c r="O14" i="10"/>
  <c r="O15" i="10"/>
  <c r="O16" i="10"/>
  <c r="N13" i="10"/>
  <c r="N15" i="10"/>
  <c r="N17" i="10"/>
  <c r="F13" i="10"/>
  <c r="J7" i="10" s="1"/>
  <c r="J19" i="7"/>
  <c r="J18" i="7"/>
  <c r="J17" i="7"/>
  <c r="J16" i="7"/>
  <c r="O16" i="7" s="1"/>
  <c r="J15" i="7"/>
  <c r="O15" i="7" s="1"/>
  <c r="J14" i="7"/>
  <c r="N14" i="7" s="1"/>
  <c r="J13" i="7"/>
  <c r="E13" i="7"/>
  <c r="D13" i="7"/>
  <c r="C13" i="7"/>
  <c r="H12" i="7"/>
  <c r="G12" i="7"/>
  <c r="C50" i="7" s="1"/>
  <c r="F42" i="7" s="1"/>
  <c r="F12" i="7"/>
  <c r="E22" i="7" s="1"/>
  <c r="H11" i="7"/>
  <c r="G11" i="7"/>
  <c r="C49" i="7" s="1"/>
  <c r="F45" i="7" s="1"/>
  <c r="F11" i="7"/>
  <c r="D22" i="7" s="1"/>
  <c r="H10" i="7"/>
  <c r="G10" i="7"/>
  <c r="C48" i="7" s="1"/>
  <c r="F43" i="7" s="1"/>
  <c r="F10" i="7"/>
  <c r="C22" i="7" s="1"/>
  <c r="H9" i="7"/>
  <c r="G9" i="7"/>
  <c r="C47" i="7" s="1"/>
  <c r="F44" i="7" s="1"/>
  <c r="F9" i="7"/>
  <c r="E21" i="7" s="1"/>
  <c r="H8" i="7"/>
  <c r="G8" i="7"/>
  <c r="C46" i="7" s="1"/>
  <c r="F46" i="7" s="1"/>
  <c r="F8" i="7"/>
  <c r="D21" i="7" s="1"/>
  <c r="H7" i="7"/>
  <c r="G7" i="7"/>
  <c r="C45" i="7" s="1"/>
  <c r="F47" i="7" s="1"/>
  <c r="F7" i="7"/>
  <c r="C21" i="7" s="1"/>
  <c r="H6" i="7"/>
  <c r="G6" i="7"/>
  <c r="C44" i="7" s="1"/>
  <c r="F50" i="7" s="1"/>
  <c r="F6" i="7"/>
  <c r="E20" i="7" s="1"/>
  <c r="H5" i="7"/>
  <c r="G5" i="7"/>
  <c r="C43" i="7" s="1"/>
  <c r="F48" i="7" s="1"/>
  <c r="F5" i="7"/>
  <c r="D20" i="7" s="1"/>
  <c r="H4" i="7"/>
  <c r="G4" i="7"/>
  <c r="C42" i="7" s="1"/>
  <c r="F49" i="7" s="1"/>
  <c r="F4" i="7"/>
  <c r="J19" i="6"/>
  <c r="J18" i="6"/>
  <c r="J17" i="6"/>
  <c r="J16" i="6"/>
  <c r="J15" i="6"/>
  <c r="J14" i="6"/>
  <c r="J13" i="6"/>
  <c r="E13" i="6"/>
  <c r="D13" i="6"/>
  <c r="C13" i="6"/>
  <c r="H12" i="6"/>
  <c r="G12" i="6"/>
  <c r="C51" i="6" s="1"/>
  <c r="F44" i="6" s="1"/>
  <c r="F12" i="6"/>
  <c r="E22" i="6" s="1"/>
  <c r="H11" i="6"/>
  <c r="G11" i="6"/>
  <c r="C50" i="6" s="1"/>
  <c r="F45" i="6" s="1"/>
  <c r="F11" i="6"/>
  <c r="D22" i="6" s="1"/>
  <c r="H10" i="6"/>
  <c r="G10" i="6"/>
  <c r="C49" i="6" s="1"/>
  <c r="F43" i="6" s="1"/>
  <c r="C22" i="6"/>
  <c r="H9" i="6"/>
  <c r="G9" i="6"/>
  <c r="C48" i="6" s="1"/>
  <c r="F48" i="6" s="1"/>
  <c r="F9" i="6"/>
  <c r="E21" i="6" s="1"/>
  <c r="H8" i="6"/>
  <c r="G8" i="6"/>
  <c r="C47" i="6" s="1"/>
  <c r="F47" i="6" s="1"/>
  <c r="F8" i="6"/>
  <c r="D21" i="6" s="1"/>
  <c r="H7" i="6"/>
  <c r="G7" i="6"/>
  <c r="C46" i="6" s="1"/>
  <c r="F46" i="6" s="1"/>
  <c r="F7" i="6"/>
  <c r="C21" i="6" s="1"/>
  <c r="H6" i="6"/>
  <c r="G6" i="6"/>
  <c r="C45" i="6" s="1"/>
  <c r="F51" i="6" s="1"/>
  <c r="F6" i="6"/>
  <c r="E20" i="6" s="1"/>
  <c r="H5" i="6"/>
  <c r="G5" i="6"/>
  <c r="C44" i="6" s="1"/>
  <c r="F49" i="6" s="1"/>
  <c r="F5" i="6"/>
  <c r="D20" i="6" s="1"/>
  <c r="H4" i="6"/>
  <c r="G4" i="6"/>
  <c r="C43" i="6" s="1"/>
  <c r="F50" i="6" s="1"/>
  <c r="F4" i="6"/>
  <c r="J19" i="5"/>
  <c r="J18" i="5"/>
  <c r="J17" i="5"/>
  <c r="J16" i="5"/>
  <c r="J15" i="5"/>
  <c r="J14" i="5"/>
  <c r="N14" i="5" s="1"/>
  <c r="J13" i="5"/>
  <c r="E13" i="5"/>
  <c r="D13" i="5"/>
  <c r="H12" i="5"/>
  <c r="G12" i="5"/>
  <c r="C50" i="5" s="1"/>
  <c r="F44" i="5" s="1"/>
  <c r="F12" i="5"/>
  <c r="E22" i="5" s="1"/>
  <c r="H11" i="5"/>
  <c r="G11" i="5"/>
  <c r="C49" i="5" s="1"/>
  <c r="F43" i="5" s="1"/>
  <c r="F11" i="5"/>
  <c r="D22" i="5" s="1"/>
  <c r="H10" i="5"/>
  <c r="G10" i="5"/>
  <c r="C48" i="5" s="1"/>
  <c r="F48" i="5" s="1"/>
  <c r="F10" i="5"/>
  <c r="C22" i="5" s="1"/>
  <c r="H9" i="5"/>
  <c r="G9" i="5"/>
  <c r="C47" i="5" s="1"/>
  <c r="F42" i="5" s="1"/>
  <c r="F9" i="5"/>
  <c r="E21" i="5" s="1"/>
  <c r="H8" i="5"/>
  <c r="G8" i="5"/>
  <c r="C46" i="5" s="1"/>
  <c r="F47" i="5" s="1"/>
  <c r="F8" i="5"/>
  <c r="D21" i="5" s="1"/>
  <c r="H7" i="5"/>
  <c r="F7" i="5"/>
  <c r="C21" i="5" s="1"/>
  <c r="H6" i="5"/>
  <c r="F6" i="5"/>
  <c r="E20" i="5" s="1"/>
  <c r="H5" i="5"/>
  <c r="G5" i="5"/>
  <c r="C43" i="5" s="1"/>
  <c r="F49" i="5" s="1"/>
  <c r="F5" i="5"/>
  <c r="D20" i="5" s="1"/>
  <c r="G4" i="5"/>
  <c r="C42" i="5" s="1"/>
  <c r="F46" i="5" s="1"/>
  <c r="F4" i="5"/>
  <c r="J19" i="4"/>
  <c r="J18" i="4"/>
  <c r="J17" i="4"/>
  <c r="O17" i="4" s="1"/>
  <c r="J16" i="4"/>
  <c r="N16" i="4" s="1"/>
  <c r="J15" i="4"/>
  <c r="O15" i="4" s="1"/>
  <c r="J14" i="4"/>
  <c r="N14" i="4" s="1"/>
  <c r="J13" i="4"/>
  <c r="O13" i="4" s="1"/>
  <c r="E13" i="4"/>
  <c r="D13" i="4"/>
  <c r="C13" i="4"/>
  <c r="H12" i="4"/>
  <c r="G12" i="4"/>
  <c r="D50" i="4" s="1"/>
  <c r="G43" i="4" s="1"/>
  <c r="F12" i="4"/>
  <c r="E22" i="4" s="1"/>
  <c r="H11" i="4"/>
  <c r="G11" i="4"/>
  <c r="D49" i="4" s="1"/>
  <c r="G47" i="4" s="1"/>
  <c r="F11" i="4"/>
  <c r="D22" i="4" s="1"/>
  <c r="H10" i="4"/>
  <c r="G10" i="4"/>
  <c r="D48" i="4" s="1"/>
  <c r="G42" i="4" s="1"/>
  <c r="F10" i="4"/>
  <c r="C22" i="4" s="1"/>
  <c r="H9" i="4"/>
  <c r="G9" i="4"/>
  <c r="D47" i="4" s="1"/>
  <c r="G49" i="4" s="1"/>
  <c r="F9" i="4"/>
  <c r="E21" i="4" s="1"/>
  <c r="H8" i="4"/>
  <c r="G8" i="4"/>
  <c r="D46" i="4" s="1"/>
  <c r="G50" i="4" s="1"/>
  <c r="F8" i="4"/>
  <c r="D21" i="4" s="1"/>
  <c r="H7" i="4"/>
  <c r="G7" i="4"/>
  <c r="D45" i="4" s="1"/>
  <c r="G48" i="4" s="1"/>
  <c r="F7" i="4"/>
  <c r="C21" i="4" s="1"/>
  <c r="H6" i="4"/>
  <c r="G6" i="4"/>
  <c r="D44" i="4" s="1"/>
  <c r="G45" i="4" s="1"/>
  <c r="F6" i="4"/>
  <c r="E20" i="4" s="1"/>
  <c r="H5" i="4"/>
  <c r="G5" i="4"/>
  <c r="D43" i="4" s="1"/>
  <c r="G44" i="4" s="1"/>
  <c r="F5" i="4"/>
  <c r="D20" i="4" s="1"/>
  <c r="H4" i="4"/>
  <c r="G4" i="4"/>
  <c r="F4" i="4"/>
  <c r="J19" i="1"/>
  <c r="J18" i="1"/>
  <c r="J17" i="1"/>
  <c r="J16" i="1"/>
  <c r="N16" i="1" s="1"/>
  <c r="J15" i="1"/>
  <c r="J14" i="1"/>
  <c r="J13" i="1"/>
  <c r="O13" i="1" s="1"/>
  <c r="E13" i="1"/>
  <c r="D13" i="1"/>
  <c r="C13" i="1"/>
  <c r="H12" i="1"/>
  <c r="G12" i="1"/>
  <c r="D52" i="1" s="1"/>
  <c r="G46" i="1" s="1"/>
  <c r="F12" i="1"/>
  <c r="E22" i="1" s="1"/>
  <c r="H11" i="1"/>
  <c r="G11" i="1"/>
  <c r="D51" i="1" s="1"/>
  <c r="G45" i="1" s="1"/>
  <c r="F11" i="1"/>
  <c r="D22" i="1" s="1"/>
  <c r="H10" i="1"/>
  <c r="G10" i="1"/>
  <c r="D50" i="1" s="1"/>
  <c r="G44" i="1" s="1"/>
  <c r="F10" i="1"/>
  <c r="C22" i="1" s="1"/>
  <c r="H9" i="1"/>
  <c r="G9" i="1"/>
  <c r="D49" i="1" s="1"/>
  <c r="G51" i="1" s="1"/>
  <c r="F9" i="1"/>
  <c r="E21" i="1" s="1"/>
  <c r="H8" i="1"/>
  <c r="G8" i="1"/>
  <c r="D48" i="1" s="1"/>
  <c r="G52" i="1" s="1"/>
  <c r="F8" i="1"/>
  <c r="D21" i="1" s="1"/>
  <c r="H7" i="1"/>
  <c r="G7" i="1"/>
  <c r="D47" i="1" s="1"/>
  <c r="G47" i="1" s="1"/>
  <c r="F7" i="1"/>
  <c r="C21" i="1" s="1"/>
  <c r="H6" i="1"/>
  <c r="G6" i="1"/>
  <c r="D46" i="1" s="1"/>
  <c r="G49" i="1" s="1"/>
  <c r="F6" i="1"/>
  <c r="E20" i="1" s="1"/>
  <c r="H5" i="1"/>
  <c r="G5" i="1"/>
  <c r="D45" i="1" s="1"/>
  <c r="G50" i="1" s="1"/>
  <c r="F5" i="1"/>
  <c r="D20" i="1" s="1"/>
  <c r="H4" i="1"/>
  <c r="G4" i="1"/>
  <c r="D44" i="1" s="1"/>
  <c r="G48" i="1" s="1"/>
  <c r="F4" i="1"/>
  <c r="K19" i="3"/>
  <c r="K18" i="3"/>
  <c r="K17" i="3"/>
  <c r="K16" i="3"/>
  <c r="O16" i="3" s="1"/>
  <c r="K15" i="3"/>
  <c r="K14" i="3"/>
  <c r="O14" i="3" s="1"/>
  <c r="K13" i="3"/>
  <c r="F13" i="3"/>
  <c r="E13" i="3"/>
  <c r="D13" i="3"/>
  <c r="I12" i="3"/>
  <c r="H12" i="3"/>
  <c r="E51" i="3" s="1"/>
  <c r="H49" i="3" s="1"/>
  <c r="G12" i="3"/>
  <c r="F22" i="3" s="1"/>
  <c r="I11" i="3"/>
  <c r="H11" i="3"/>
  <c r="E50" i="3" s="1"/>
  <c r="H46" i="3" s="1"/>
  <c r="G11" i="3"/>
  <c r="E22" i="3" s="1"/>
  <c r="I10" i="3"/>
  <c r="H10" i="3"/>
  <c r="E49" i="3" s="1"/>
  <c r="H43" i="3" s="1"/>
  <c r="G10" i="3"/>
  <c r="D22" i="3" s="1"/>
  <c r="I9" i="3"/>
  <c r="H9" i="3"/>
  <c r="E48" i="3" s="1"/>
  <c r="H50" i="3" s="1"/>
  <c r="G9" i="3"/>
  <c r="F21" i="3" s="1"/>
  <c r="I8" i="3"/>
  <c r="H8" i="3"/>
  <c r="E47" i="3" s="1"/>
  <c r="H47" i="3" s="1"/>
  <c r="G8" i="3"/>
  <c r="E21" i="3" s="1"/>
  <c r="I7" i="3"/>
  <c r="H7" i="3"/>
  <c r="E46" i="3" s="1"/>
  <c r="H45" i="3" s="1"/>
  <c r="G7" i="3"/>
  <c r="D21" i="3" s="1"/>
  <c r="I6" i="3"/>
  <c r="H6" i="3"/>
  <c r="E45" i="3" s="1"/>
  <c r="H51" i="3" s="1"/>
  <c r="G6" i="3"/>
  <c r="F20" i="3" s="1"/>
  <c r="I5" i="3"/>
  <c r="H5" i="3"/>
  <c r="E44" i="3" s="1"/>
  <c r="H48" i="3" s="1"/>
  <c r="G5" i="3"/>
  <c r="E20" i="3" s="1"/>
  <c r="I4" i="3"/>
  <c r="H4" i="3"/>
  <c r="E43" i="3" s="1"/>
  <c r="H44" i="3" s="1"/>
  <c r="G4" i="3"/>
  <c r="J19" i="2"/>
  <c r="J18" i="2"/>
  <c r="J17" i="2"/>
  <c r="J16" i="2"/>
  <c r="O16" i="2" s="1"/>
  <c r="J15" i="2"/>
  <c r="J14" i="2"/>
  <c r="N14" i="2" s="1"/>
  <c r="J13" i="2"/>
  <c r="E13" i="2"/>
  <c r="D13" i="2"/>
  <c r="C13" i="2"/>
  <c r="H12" i="2"/>
  <c r="G12" i="2"/>
  <c r="C51" i="2" s="1"/>
  <c r="F50" i="2" s="1"/>
  <c r="F12" i="2"/>
  <c r="E22" i="2" s="1"/>
  <c r="H11" i="2"/>
  <c r="G11" i="2"/>
  <c r="C50" i="2" s="1"/>
  <c r="F47" i="2" s="1"/>
  <c r="F11" i="2"/>
  <c r="D22" i="2" s="1"/>
  <c r="H10" i="2"/>
  <c r="G10" i="2"/>
  <c r="C49" i="2" s="1"/>
  <c r="F43" i="2" s="1"/>
  <c r="F10" i="2"/>
  <c r="C22" i="2" s="1"/>
  <c r="H9" i="2"/>
  <c r="G9" i="2"/>
  <c r="C48" i="2" s="1"/>
  <c r="F51" i="2" s="1"/>
  <c r="F9" i="2"/>
  <c r="E21" i="2" s="1"/>
  <c r="H8" i="2"/>
  <c r="G8" i="2"/>
  <c r="C47" i="2" s="1"/>
  <c r="F45" i="2" s="1"/>
  <c r="F8" i="2"/>
  <c r="D21" i="2" s="1"/>
  <c r="H7" i="2"/>
  <c r="G7" i="2"/>
  <c r="C46" i="2" s="1"/>
  <c r="F46" i="2" s="1"/>
  <c r="F7" i="2"/>
  <c r="C21" i="2" s="1"/>
  <c r="H6" i="2"/>
  <c r="G6" i="2"/>
  <c r="C45" i="2" s="1"/>
  <c r="F49" i="2" s="1"/>
  <c r="F6" i="2"/>
  <c r="E20" i="2" s="1"/>
  <c r="H5" i="2"/>
  <c r="G5" i="2"/>
  <c r="C44" i="2" s="1"/>
  <c r="F48" i="2" s="1"/>
  <c r="F5" i="2"/>
  <c r="D20" i="2" s="1"/>
  <c r="H4" i="2"/>
  <c r="G4" i="2"/>
  <c r="C43" i="2" s="1"/>
  <c r="F44" i="2" s="1"/>
  <c r="F4" i="2"/>
  <c r="O14" i="1" l="1"/>
  <c r="N14" i="1"/>
  <c r="O15" i="6"/>
  <c r="D42" i="4"/>
  <c r="G46" i="4" s="1"/>
  <c r="P13" i="3"/>
  <c r="P15" i="3"/>
  <c r="P17" i="3"/>
  <c r="O15" i="2"/>
  <c r="P14" i="3"/>
  <c r="O14" i="4"/>
  <c r="O13" i="5"/>
  <c r="O15" i="5"/>
  <c r="O17" i="5"/>
  <c r="O16" i="6"/>
  <c r="D23" i="2"/>
  <c r="D24" i="2" s="1"/>
  <c r="C37" i="2" s="1"/>
  <c r="F22" i="1"/>
  <c r="G22" i="1" s="1"/>
  <c r="D30" i="1" s="1"/>
  <c r="G28" i="1" s="1"/>
  <c r="E23" i="1"/>
  <c r="E24" i="1" s="1"/>
  <c r="D38" i="1" s="1"/>
  <c r="G37" i="1" s="1"/>
  <c r="J37" i="1" s="1"/>
  <c r="F13" i="4"/>
  <c r="F22" i="7"/>
  <c r="G22" i="7" s="1"/>
  <c r="C30" i="7" s="1"/>
  <c r="F28" i="7" s="1"/>
  <c r="D23" i="7"/>
  <c r="D24" i="7" s="1"/>
  <c r="C36" i="7" s="1"/>
  <c r="F35" i="7" s="1"/>
  <c r="F22" i="6"/>
  <c r="G22" i="6" s="1"/>
  <c r="C31" i="6" s="1"/>
  <c r="F29" i="6" s="1"/>
  <c r="F21" i="6"/>
  <c r="G21" i="6" s="1"/>
  <c r="C30" i="6" s="1"/>
  <c r="F30" i="6" s="1"/>
  <c r="F22" i="4"/>
  <c r="G22" i="4" s="1"/>
  <c r="D30" i="4" s="1"/>
  <c r="G28" i="4" s="1"/>
  <c r="K19" i="10"/>
  <c r="K13" i="10"/>
  <c r="L13" i="10" s="1"/>
  <c r="K14" i="10"/>
  <c r="K16" i="10"/>
  <c r="L16" i="10" s="1"/>
  <c r="K15" i="10"/>
  <c r="L15" i="10" s="1"/>
  <c r="F13" i="2"/>
  <c r="O14" i="2"/>
  <c r="O17" i="2"/>
  <c r="P16" i="3"/>
  <c r="D23" i="1"/>
  <c r="D24" i="1" s="1"/>
  <c r="D37" i="1" s="1"/>
  <c r="G38" i="1" s="1"/>
  <c r="J36" i="1" s="1"/>
  <c r="O17" i="1"/>
  <c r="F21" i="4"/>
  <c r="G21" i="4" s="1"/>
  <c r="D29" i="4" s="1"/>
  <c r="G30" i="4" s="1"/>
  <c r="O14" i="5"/>
  <c r="E23" i="6"/>
  <c r="E24" i="6" s="1"/>
  <c r="C38" i="6" s="1"/>
  <c r="F38" i="6" s="1"/>
  <c r="O13" i="6"/>
  <c r="N16" i="6"/>
  <c r="F13" i="7"/>
  <c r="J7" i="7" s="1"/>
  <c r="K19" i="7" s="1"/>
  <c r="O14" i="7"/>
  <c r="O17" i="7"/>
  <c r="F21" i="2"/>
  <c r="G21" i="2" s="1"/>
  <c r="C30" i="2" s="1"/>
  <c r="F31" i="2" s="1"/>
  <c r="F13" i="1"/>
  <c r="J7" i="1" s="1"/>
  <c r="K13" i="1" s="1"/>
  <c r="L13" i="1" s="1"/>
  <c r="C20" i="1"/>
  <c r="E23" i="4"/>
  <c r="E24" i="4" s="1"/>
  <c r="D37" i="4" s="1"/>
  <c r="G36" i="4" s="1"/>
  <c r="F13" i="5"/>
  <c r="D23" i="6"/>
  <c r="D24" i="6" s="1"/>
  <c r="C37" i="6" s="1"/>
  <c r="F36" i="6" s="1"/>
  <c r="N14" i="6"/>
  <c r="F21" i="7"/>
  <c r="G21" i="7" s="1"/>
  <c r="C29" i="7" s="1"/>
  <c r="F29" i="7" s="1"/>
  <c r="F23" i="10"/>
  <c r="C24" i="10"/>
  <c r="C35" i="10" s="1"/>
  <c r="F36" i="10" s="1"/>
  <c r="E23" i="2"/>
  <c r="E24" i="2" s="1"/>
  <c r="C38" i="2" s="1"/>
  <c r="F22" i="2"/>
  <c r="G22" i="2" s="1"/>
  <c r="C31" i="2" s="1"/>
  <c r="F29" i="2" s="1"/>
  <c r="O13" i="2"/>
  <c r="N16" i="2"/>
  <c r="F21" i="1"/>
  <c r="G21" i="1" s="1"/>
  <c r="D29" i="1" s="1"/>
  <c r="G30" i="1" s="1"/>
  <c r="O15" i="1"/>
  <c r="D23" i="4"/>
  <c r="D24" i="4" s="1"/>
  <c r="D36" i="4" s="1"/>
  <c r="G37" i="4" s="1"/>
  <c r="O16" i="4"/>
  <c r="E23" i="5"/>
  <c r="E24" i="5" s="1"/>
  <c r="C37" i="5" s="1"/>
  <c r="F35" i="5" s="1"/>
  <c r="F22" i="5"/>
  <c r="G22" i="5" s="1"/>
  <c r="C30" i="5" s="1"/>
  <c r="F30" i="5" s="1"/>
  <c r="N16" i="5"/>
  <c r="F13" i="6"/>
  <c r="J7" i="6" s="1"/>
  <c r="K13" i="6" s="1"/>
  <c r="L13" i="6" s="1"/>
  <c r="O14" i="6"/>
  <c r="O17" i="6"/>
  <c r="E23" i="7"/>
  <c r="E24" i="7" s="1"/>
  <c r="C37" i="7" s="1"/>
  <c r="F36" i="7" s="1"/>
  <c r="O13" i="7"/>
  <c r="N16" i="7"/>
  <c r="F23" i="3"/>
  <c r="F24" i="3" s="1"/>
  <c r="E38" i="3" s="1"/>
  <c r="E23" i="3"/>
  <c r="E24" i="3" s="1"/>
  <c r="E37" i="3" s="1"/>
  <c r="G21" i="3"/>
  <c r="H21" i="3" s="1"/>
  <c r="E30" i="3" s="1"/>
  <c r="H30" i="3" s="1"/>
  <c r="G13" i="3"/>
  <c r="K7" i="3" s="1"/>
  <c r="L13" i="3" s="1"/>
  <c r="M13" i="3" s="1"/>
  <c r="N13" i="7"/>
  <c r="N15" i="7"/>
  <c r="N17" i="7"/>
  <c r="C20" i="7"/>
  <c r="N13" i="6"/>
  <c r="N15" i="6"/>
  <c r="N17" i="6"/>
  <c r="C20" i="6"/>
  <c r="D23" i="5"/>
  <c r="D24" i="5" s="1"/>
  <c r="C36" i="5" s="1"/>
  <c r="F37" i="5" s="1"/>
  <c r="F21" i="5"/>
  <c r="G21" i="5" s="1"/>
  <c r="C29" i="5" s="1"/>
  <c r="F28" i="5" s="1"/>
  <c r="N13" i="5"/>
  <c r="N15" i="5"/>
  <c r="O16" i="5"/>
  <c r="N17" i="5"/>
  <c r="C20" i="5"/>
  <c r="N13" i="4"/>
  <c r="N15" i="4"/>
  <c r="N17" i="4"/>
  <c r="C20" i="4"/>
  <c r="N13" i="1"/>
  <c r="N15" i="1"/>
  <c r="O16" i="1"/>
  <c r="N17" i="1"/>
  <c r="G22" i="3"/>
  <c r="H22" i="3" s="1"/>
  <c r="E31" i="3" s="1"/>
  <c r="H29" i="3" s="1"/>
  <c r="O13" i="3"/>
  <c r="O15" i="3"/>
  <c r="O17" i="3"/>
  <c r="D20" i="3"/>
  <c r="D23" i="3" s="1"/>
  <c r="N13" i="2"/>
  <c r="N15" i="2"/>
  <c r="N17" i="2"/>
  <c r="C20" i="2"/>
  <c r="J7" i="5" l="1"/>
  <c r="K14" i="5" s="1"/>
  <c r="L14" i="5" s="1"/>
  <c r="J7" i="4"/>
  <c r="K14" i="4" s="1"/>
  <c r="L14" i="4" s="1"/>
  <c r="J7" i="2"/>
  <c r="K19" i="1"/>
  <c r="K14" i="7"/>
  <c r="K19" i="6"/>
  <c r="K17" i="10"/>
  <c r="L17" i="10" s="1"/>
  <c r="L14" i="10"/>
  <c r="K14" i="1"/>
  <c r="L14" i="1" s="1"/>
  <c r="K14" i="6"/>
  <c r="L14" i="6" s="1"/>
  <c r="K13" i="7"/>
  <c r="L13" i="7" s="1"/>
  <c r="K18" i="10"/>
  <c r="L18" i="10" s="1"/>
  <c r="C23" i="1"/>
  <c r="C24" i="1" s="1"/>
  <c r="D36" i="1" s="1"/>
  <c r="G36" i="1" s="1"/>
  <c r="F20" i="1"/>
  <c r="L19" i="3"/>
  <c r="L14" i="3"/>
  <c r="M14" i="3" s="1"/>
  <c r="C23" i="7"/>
  <c r="F20" i="7"/>
  <c r="L14" i="7"/>
  <c r="C23" i="6"/>
  <c r="F20" i="6"/>
  <c r="C23" i="5"/>
  <c r="F20" i="5"/>
  <c r="C23" i="4"/>
  <c r="F20" i="4"/>
  <c r="G20" i="3"/>
  <c r="C23" i="2"/>
  <c r="F20" i="2"/>
  <c r="K14" i="2" l="1"/>
  <c r="K13" i="2"/>
  <c r="J43" i="10"/>
  <c r="J45" i="10" s="1"/>
  <c r="J28" i="10"/>
  <c r="J30" i="10" s="1"/>
  <c r="G28" i="10" s="1"/>
  <c r="J35" i="10"/>
  <c r="J37" i="10" s="1"/>
  <c r="K19" i="5"/>
  <c r="K13" i="5"/>
  <c r="L13" i="5" s="1"/>
  <c r="L13" i="2"/>
  <c r="K16" i="2"/>
  <c r="L16" i="2" s="1"/>
  <c r="K15" i="2"/>
  <c r="K19" i="2"/>
  <c r="J38" i="1"/>
  <c r="K18" i="2"/>
  <c r="L18" i="2" s="1"/>
  <c r="G36" i="2" s="1"/>
  <c r="K13" i="4"/>
  <c r="L13" i="4" s="1"/>
  <c r="K19" i="4"/>
  <c r="K18" i="1"/>
  <c r="L18" i="1" s="1"/>
  <c r="K18" i="7"/>
  <c r="L18" i="7" s="1"/>
  <c r="K18" i="5"/>
  <c r="L18" i="5" s="1"/>
  <c r="G20" i="7"/>
  <c r="C28" i="7" s="1"/>
  <c r="F30" i="7" s="1"/>
  <c r="F23" i="7"/>
  <c r="G20" i="1"/>
  <c r="F23" i="1"/>
  <c r="K18" i="6"/>
  <c r="L18" i="6" s="1"/>
  <c r="M16" i="10"/>
  <c r="P16" i="10" s="1"/>
  <c r="M13" i="10"/>
  <c r="P13" i="10" s="1"/>
  <c r="M15" i="10"/>
  <c r="P15" i="10" s="1"/>
  <c r="M14" i="10"/>
  <c r="P14" i="10" s="1"/>
  <c r="M17" i="10"/>
  <c r="P17" i="10" s="1"/>
  <c r="L18" i="3"/>
  <c r="M18" i="3" s="1"/>
  <c r="M14" i="7"/>
  <c r="P14" i="7" s="1"/>
  <c r="K15" i="7"/>
  <c r="M13" i="7"/>
  <c r="P13" i="7" s="1"/>
  <c r="C24" i="7"/>
  <c r="C35" i="7" s="1"/>
  <c r="F37" i="7" s="1"/>
  <c r="K16" i="7"/>
  <c r="L16" i="7" s="1"/>
  <c r="M16" i="7" s="1"/>
  <c r="P16" i="7" s="1"/>
  <c r="F23" i="6"/>
  <c r="G20" i="6"/>
  <c r="C29" i="6" s="1"/>
  <c r="F31" i="6" s="1"/>
  <c r="K15" i="6"/>
  <c r="C24" i="6"/>
  <c r="C36" i="6" s="1"/>
  <c r="F37" i="6" s="1"/>
  <c r="K16" i="6"/>
  <c r="L16" i="6" s="1"/>
  <c r="F23" i="5"/>
  <c r="G20" i="5"/>
  <c r="C28" i="5" s="1"/>
  <c r="F29" i="5" s="1"/>
  <c r="K15" i="5"/>
  <c r="C24" i="5"/>
  <c r="C35" i="5" s="1"/>
  <c r="F36" i="5" s="1"/>
  <c r="K16" i="5"/>
  <c r="L16" i="5" s="1"/>
  <c r="F23" i="4"/>
  <c r="G20" i="4"/>
  <c r="D28" i="4" s="1"/>
  <c r="G29" i="4" s="1"/>
  <c r="K15" i="4"/>
  <c r="C24" i="4"/>
  <c r="D35" i="4" s="1"/>
  <c r="G35" i="4" s="1"/>
  <c r="K16" i="4"/>
  <c r="L16" i="4" s="1"/>
  <c r="M14" i="1"/>
  <c r="P14" i="1" s="1"/>
  <c r="K15" i="1"/>
  <c r="K16" i="1"/>
  <c r="L16" i="1" s="1"/>
  <c r="G23" i="3"/>
  <c r="H20" i="3"/>
  <c r="E29" i="3" s="1"/>
  <c r="H31" i="3" s="1"/>
  <c r="L15" i="3"/>
  <c r="D24" i="3"/>
  <c r="E36" i="3" s="1"/>
  <c r="L16" i="3"/>
  <c r="M16" i="3" s="1"/>
  <c r="F23" i="2"/>
  <c r="G20" i="2"/>
  <c r="C29" i="2" s="1"/>
  <c r="F30" i="2" s="1"/>
  <c r="C24" i="2"/>
  <c r="C36" i="2" s="1"/>
  <c r="G35" i="10" l="1"/>
  <c r="G37" i="10"/>
  <c r="G36" i="10"/>
  <c r="G46" i="10"/>
  <c r="G49" i="10"/>
  <c r="G47" i="10"/>
  <c r="G45" i="10"/>
  <c r="G48" i="10"/>
  <c r="G44" i="10"/>
  <c r="G43" i="10"/>
  <c r="J43" i="6"/>
  <c r="J45" i="6" s="1"/>
  <c r="J29" i="6"/>
  <c r="J31" i="6" s="1"/>
  <c r="J36" i="6"/>
  <c r="J38" i="6" s="1"/>
  <c r="G36" i="6" s="1"/>
  <c r="J28" i="5"/>
  <c r="J30" i="5" s="1"/>
  <c r="G28" i="5" s="1"/>
  <c r="J42" i="5"/>
  <c r="J44" i="5" s="1"/>
  <c r="G42" i="5" s="1"/>
  <c r="J35" i="5"/>
  <c r="J37" i="5" s="1"/>
  <c r="G35" i="5" s="1"/>
  <c r="J42" i="7"/>
  <c r="J44" i="7" s="1"/>
  <c r="G42" i="7" s="1"/>
  <c r="J35" i="7"/>
  <c r="J37" i="7" s="1"/>
  <c r="G35" i="7" s="1"/>
  <c r="J28" i="7"/>
  <c r="J30" i="7" s="1"/>
  <c r="G30" i="7" s="1"/>
  <c r="L44" i="3"/>
  <c r="L46" i="3" s="1"/>
  <c r="I36" i="3"/>
  <c r="I38" i="3" s="1"/>
  <c r="L29" i="3"/>
  <c r="L31" i="3" s="1"/>
  <c r="I29" i="3" s="1"/>
  <c r="J43" i="2"/>
  <c r="J45" i="2" s="1"/>
  <c r="G43" i="2" s="1"/>
  <c r="G38" i="2"/>
  <c r="D37" i="2" s="1"/>
  <c r="J29" i="2"/>
  <c r="J31" i="2" s="1"/>
  <c r="G29" i="2" s="1"/>
  <c r="D36" i="2"/>
  <c r="L14" i="2"/>
  <c r="K18" i="4"/>
  <c r="L18" i="4" s="1"/>
  <c r="M16" i="4" s="1"/>
  <c r="P16" i="4" s="1"/>
  <c r="M13" i="2"/>
  <c r="P13" i="2" s="1"/>
  <c r="M16" i="2"/>
  <c r="P16" i="2" s="1"/>
  <c r="I24" i="1"/>
  <c r="J24" i="1" s="1"/>
  <c r="J22" i="1"/>
  <c r="G29" i="1"/>
  <c r="D28" i="1"/>
  <c r="M14" i="2"/>
  <c r="P14" i="2" s="1"/>
  <c r="N16" i="3"/>
  <c r="Q16" i="3" s="1"/>
  <c r="M16" i="1"/>
  <c r="P16" i="1" s="1"/>
  <c r="M13" i="1"/>
  <c r="P13" i="1" s="1"/>
  <c r="M13" i="6"/>
  <c r="P13" i="6" s="1"/>
  <c r="M14" i="6"/>
  <c r="P14" i="6" s="1"/>
  <c r="M16" i="6"/>
  <c r="P16" i="6" s="1"/>
  <c r="M16" i="5"/>
  <c r="P16" i="5" s="1"/>
  <c r="M13" i="5"/>
  <c r="P13" i="5" s="1"/>
  <c r="M14" i="5"/>
  <c r="P14" i="5" s="1"/>
  <c r="N13" i="3"/>
  <c r="Q13" i="3" s="1"/>
  <c r="N14" i="3"/>
  <c r="Q14" i="3" s="1"/>
  <c r="L15" i="7"/>
  <c r="M15" i="7" s="1"/>
  <c r="P15" i="7" s="1"/>
  <c r="K17" i="7"/>
  <c r="L17" i="7" s="1"/>
  <c r="M17" i="7" s="1"/>
  <c r="P17" i="7" s="1"/>
  <c r="L15" i="6"/>
  <c r="M15" i="6" s="1"/>
  <c r="P15" i="6" s="1"/>
  <c r="K17" i="6"/>
  <c r="L17" i="6" s="1"/>
  <c r="M17" i="6" s="1"/>
  <c r="P17" i="6" s="1"/>
  <c r="L15" i="5"/>
  <c r="M15" i="5" s="1"/>
  <c r="P15" i="5" s="1"/>
  <c r="K17" i="5"/>
  <c r="L17" i="5" s="1"/>
  <c r="M17" i="5" s="1"/>
  <c r="P17" i="5" s="1"/>
  <c r="L15" i="4"/>
  <c r="M15" i="4" s="1"/>
  <c r="K17" i="4"/>
  <c r="L17" i="4" s="1"/>
  <c r="M17" i="4" s="1"/>
  <c r="P17" i="4" s="1"/>
  <c r="L15" i="1"/>
  <c r="M15" i="1" s="1"/>
  <c r="P15" i="1" s="1"/>
  <c r="K17" i="1"/>
  <c r="L17" i="1" s="1"/>
  <c r="M17" i="1" s="1"/>
  <c r="P17" i="1" s="1"/>
  <c r="M15" i="3"/>
  <c r="L17" i="3"/>
  <c r="M17" i="3" s="1"/>
  <c r="N17" i="3" s="1"/>
  <c r="Q17" i="3" s="1"/>
  <c r="L15" i="2"/>
  <c r="M15" i="2" s="1"/>
  <c r="P15" i="2" s="1"/>
  <c r="K17" i="2"/>
  <c r="L17" i="2" s="1"/>
  <c r="M17" i="2" s="1"/>
  <c r="P17" i="2" s="1"/>
  <c r="F37" i="3" l="1"/>
  <c r="F38" i="3"/>
  <c r="I44" i="3"/>
  <c r="I45" i="3"/>
  <c r="I47" i="3"/>
  <c r="I43" i="3"/>
  <c r="I46" i="3"/>
  <c r="G43" i="6"/>
  <c r="G46" i="6"/>
  <c r="G47" i="6"/>
  <c r="G45" i="6"/>
  <c r="G44" i="6"/>
  <c r="G30" i="6"/>
  <c r="G29" i="6"/>
  <c r="G31" i="6"/>
  <c r="G28" i="7"/>
  <c r="G29" i="7"/>
  <c r="K42" i="4"/>
  <c r="K44" i="4" s="1"/>
  <c r="H42" i="4" s="1"/>
  <c r="K28" i="4"/>
  <c r="K30" i="4" s="1"/>
  <c r="H29" i="4" s="1"/>
  <c r="K35" i="4"/>
  <c r="K37" i="4" s="1"/>
  <c r="H35" i="4" s="1"/>
  <c r="M13" i="4"/>
  <c r="P13" i="4" s="1"/>
  <c r="N15" i="3"/>
  <c r="Q15" i="3" s="1"/>
  <c r="F36" i="3"/>
  <c r="M14" i="4"/>
  <c r="P14" i="4" s="1"/>
  <c r="H44" i="1"/>
  <c r="H28" i="1"/>
  <c r="H36" i="1"/>
  <c r="H28" i="4" l="1"/>
</calcChain>
</file>

<file path=xl/sharedStrings.xml><?xml version="1.0" encoding="utf-8"?>
<sst xmlns="http://schemas.openxmlformats.org/spreadsheetml/2006/main" count="1861" uniqueCount="182">
  <si>
    <t>Perlakuan</t>
  </si>
  <si>
    <t>Ulangan</t>
  </si>
  <si>
    <t>Total</t>
  </si>
  <si>
    <t>Rata-Rata</t>
  </si>
  <si>
    <t>I</t>
  </si>
  <si>
    <t>II</t>
  </si>
  <si>
    <t>III</t>
  </si>
  <si>
    <t>T</t>
  </si>
  <si>
    <t>T1P1</t>
  </si>
  <si>
    <t>P</t>
  </si>
  <si>
    <t>T1P2</t>
  </si>
  <si>
    <t>r</t>
  </si>
  <si>
    <t>T1P3</t>
  </si>
  <si>
    <t>T2P1</t>
  </si>
  <si>
    <t>FK</t>
  </si>
  <si>
    <t>T2P2</t>
  </si>
  <si>
    <t>T2P3</t>
  </si>
  <si>
    <t>T3P1</t>
  </si>
  <si>
    <t>T3P2</t>
  </si>
  <si>
    <t>SK</t>
  </si>
  <si>
    <t>DB</t>
  </si>
  <si>
    <t>JK</t>
  </si>
  <si>
    <t>KT</t>
  </si>
  <si>
    <t>F Hit</t>
  </si>
  <si>
    <t>F Tab</t>
  </si>
  <si>
    <t>KET</t>
  </si>
  <si>
    <t>T3P3</t>
  </si>
  <si>
    <t>Kelompok</t>
  </si>
  <si>
    <t>tn</t>
  </si>
  <si>
    <t>berbeda tidak nyata</t>
  </si>
  <si>
    <t>*</t>
  </si>
  <si>
    <t>berbeda nyata</t>
  </si>
  <si>
    <t>**</t>
  </si>
  <si>
    <t>berbeda sangat nyata</t>
  </si>
  <si>
    <t>Tabel Dua Arah</t>
  </si>
  <si>
    <t>Galat/Sisa</t>
  </si>
  <si>
    <t>P1</t>
  </si>
  <si>
    <t>P2</t>
  </si>
  <si>
    <t>P3</t>
  </si>
  <si>
    <t>T1</t>
  </si>
  <si>
    <t>T2</t>
  </si>
  <si>
    <t>T3</t>
  </si>
  <si>
    <t>BNJ Tabel</t>
  </si>
  <si>
    <t>BNJ Hit</t>
  </si>
  <si>
    <t>TP</t>
  </si>
  <si>
    <t>No. Panelis</t>
  </si>
  <si>
    <t>Rasa</t>
  </si>
  <si>
    <t xml:space="preserve">Ulangan </t>
  </si>
  <si>
    <t xml:space="preserve">Total </t>
  </si>
  <si>
    <t>Rerata</t>
  </si>
  <si>
    <t>Rata-rata</t>
  </si>
  <si>
    <t>konsentrasi tween</t>
  </si>
  <si>
    <t>lama pengering</t>
  </si>
  <si>
    <t>ulangan</t>
  </si>
  <si>
    <t>hasil</t>
  </si>
  <si>
    <t>abc</t>
  </si>
  <si>
    <t>bc</t>
  </si>
  <si>
    <t>ab</t>
  </si>
  <si>
    <t>c</t>
  </si>
  <si>
    <t>a</t>
  </si>
  <si>
    <t>lama pengeringan</t>
  </si>
  <si>
    <t>b</t>
  </si>
  <si>
    <t xml:space="preserve">ulangan </t>
  </si>
  <si>
    <t>RANKING</t>
  </si>
  <si>
    <t>Aroma</t>
  </si>
  <si>
    <t xml:space="preserve">Warna </t>
  </si>
  <si>
    <t>Warna</t>
  </si>
  <si>
    <t>Tekstur</t>
  </si>
  <si>
    <t>TOTAL</t>
  </si>
  <si>
    <t>RATA-RATA</t>
  </si>
  <si>
    <t>X2</t>
  </si>
  <si>
    <t>T&lt;X2</t>
  </si>
  <si>
    <t>Total Ranking</t>
  </si>
  <si>
    <t>Titik kritis</t>
  </si>
  <si>
    <t>H0 Ditolak</t>
  </si>
  <si>
    <t>Terima H1</t>
  </si>
  <si>
    <t>Standar Devisiasi</t>
  </si>
  <si>
    <t>Standar devisiasi</t>
  </si>
  <si>
    <t xml:space="preserve"> </t>
  </si>
  <si>
    <t>S1N1T1</t>
  </si>
  <si>
    <t>S1N1T2</t>
  </si>
  <si>
    <t>S2N2T1</t>
  </si>
  <si>
    <t>S2N2T2</t>
  </si>
  <si>
    <t>S2N2T3</t>
  </si>
  <si>
    <t>S3N3T1</t>
  </si>
  <si>
    <t>S3N3T2</t>
  </si>
  <si>
    <t>S3N3T3</t>
  </si>
  <si>
    <t>S1N1T3</t>
  </si>
  <si>
    <t>87,38</t>
  </si>
  <si>
    <t>83,29</t>
  </si>
  <si>
    <t>konsentrasi telur</t>
  </si>
  <si>
    <t>siwalan nanas</t>
  </si>
  <si>
    <t xml:space="preserve">Perlakuan </t>
  </si>
  <si>
    <t xml:space="preserve">BNJ Tabel </t>
  </si>
  <si>
    <t>Perhitungan</t>
  </si>
  <si>
    <t>Notasi</t>
  </si>
  <si>
    <t>Urutan</t>
  </si>
  <si>
    <t>notasi</t>
  </si>
  <si>
    <t>Urutkan</t>
  </si>
  <si>
    <t xml:space="preserve">Urutan </t>
  </si>
  <si>
    <t>p3</t>
  </si>
  <si>
    <t>BNJ tabel</t>
  </si>
  <si>
    <t>Bnj hit</t>
  </si>
  <si>
    <t>BNJ Faktor T</t>
  </si>
  <si>
    <t>BNJ Faktor P</t>
  </si>
  <si>
    <t>Faktor Interaksi Perlakuan</t>
  </si>
  <si>
    <t>BNJ Interaksi Perlakuan</t>
  </si>
  <si>
    <t xml:space="preserve">BNJ </t>
  </si>
  <si>
    <t>BNJ</t>
  </si>
  <si>
    <t>BNJ hitung</t>
  </si>
  <si>
    <t>BNJ Interaksi perlakuan</t>
  </si>
  <si>
    <t>Akar KTG/r</t>
  </si>
  <si>
    <t>rerata</t>
  </si>
  <si>
    <t>Ururtan</t>
  </si>
  <si>
    <t xml:space="preserve">hasil </t>
  </si>
  <si>
    <t xml:space="preserve">Kesimpulan: masing-masing perlakuan tidak berbeda nyata terhadap kandungan vit.c </t>
  </si>
  <si>
    <t>Kesimpulan: perlakuan P2 tidak berbeda nyata terhadap perlakuan P1 dan P3, sedangkan pada perlakuan P1 berpengaruh nyata terhadap perlakuan P3</t>
  </si>
  <si>
    <t>Kesimpulan: masing-masing perlakuan tidak berpengaruh nyata terhdap kandungan kadar air minuman serbuk siwalan</t>
  </si>
  <si>
    <t>Kesimpulan: pada perlakuan P1 tidak berpenagruh nyata terhadap perlakuan P2, sedangkan berpengaruh nyata pada perlakuan P3</t>
  </si>
  <si>
    <t>Kesimpulan: pada perlakuan T1 tidak berpengaruh nyata terhadap perlakuan T3 dan T2, sedangkan pada perlakuan T3 berpengaruh nyata pada perlakuan T2</t>
  </si>
  <si>
    <t>Kesimpulan: masing-masing perlakuan tidak berpengaruh nyata terhdap kandungan kelarutan minuman serbuk siwalan</t>
  </si>
  <si>
    <t>Kesimpulan: masing-masing perlakuan tidak berpengaruh nyata terhdap Warna Ligtness minuman serbuk siwalan</t>
  </si>
  <si>
    <t>Kesimpulan: masing-masing perlakuan tidak berpengaruh nyata terhdap Warna a minuman serbuk siwalan</t>
  </si>
  <si>
    <t>Kesimpulan: pada perlakuan T3 tidak berpengaruh nyata terhadap perlakuan T2, sedangkan berpenagruh nyata terhadap perlakuan T1</t>
  </si>
  <si>
    <t xml:space="preserve">Kesimpulan: pada perlakuan T3 tidak berpengaruh nyata terhadap perlakuan T2, sedangkan berpengaruh nyata terhadap perlakuan T1 </t>
  </si>
  <si>
    <t>Kesimpulan: pada perlakuan P3 tidakberpengaruh nyata terhadap perlakuan P1, sedangkan berpengaruh nyata terhadap perlakuan P2</t>
  </si>
  <si>
    <t>Kesimpulan: masing-masing perlakuan tidak berpengaruh nyata terhdap kandungan antioksidan minuman serbuk siwalan</t>
  </si>
  <si>
    <t>Hasil Akhir</t>
  </si>
  <si>
    <t>Tabel</t>
  </si>
  <si>
    <t>db</t>
  </si>
  <si>
    <t>(tabel chi-square)</t>
  </si>
  <si>
    <t>hasil akhir</t>
  </si>
  <si>
    <t>Hasil akhir</t>
  </si>
  <si>
    <t>abcd</t>
  </si>
  <si>
    <t>bcde</t>
  </si>
  <si>
    <t>de</t>
  </si>
  <si>
    <t>cde</t>
  </si>
  <si>
    <t>e</t>
  </si>
  <si>
    <t>Perhit</t>
  </si>
  <si>
    <t>T2P1 (siwalan 70%; nanas 30% dan kosentrasi putih telur 5%)</t>
  </si>
  <si>
    <t>T3P1 (siwalan 90%; nanas 10% dan kosentrasi putih telur 5%)</t>
  </si>
  <si>
    <t>T1P2 (siwalan 50%; nanas 50% dan kosentrasi putih telur 10%)</t>
  </si>
  <si>
    <t>T2P2 (siwalan 70%; nanas 30% dan kosentrasi putih telur 10%)</t>
  </si>
  <si>
    <t>T3P2 (siwalan 90%; nanas 10%  dan kosentrasi putih telur 10%)</t>
  </si>
  <si>
    <t>T1P3 (siwalan 50%; nanas 50% dan kosentrasi putih telur 15%)</t>
  </si>
  <si>
    <t>T2P3 (siwalan 70%; nanas 30% dan kosentrasi putih telur 15%)</t>
  </si>
  <si>
    <t>T3P3 (siwalan 90%; nanas 10% dan kosentrasi putih telur 5%)</t>
  </si>
  <si>
    <t>T1P1 (siwalan 50%; nanas 50% dan kosentrasi putih telur 5%)</t>
  </si>
  <si>
    <t>Kesimpulan: interaksi antara kosentrasi siwalan; nanas dengan putih telur berpengaruh nyata terhadap kandungan antioksidan minuman serbuk siwalan. Faktor 1 (siwalan; nanas) tidak berpengaruh nyata terhadap kandungan antioksidan minuman serbuk siwalan, sedangkan faktor 2 (putih telur) sangat berpengaruh nyata terhadap kandungan antioksidan minuman serbuk siwalan.</t>
  </si>
  <si>
    <t>Kesimpulan: interaksi antara siwalan; nanas dengan kosentrasi putih telur tidak berpengaruh nyata terhadap kandungan warna a minuman serbuk siwalan. Faktor 1 (siwalan; nanas) sangat berpengaruh nyata terhadap kandungan warna b minuman serbuk siwalan, sedangkan faktor 2 (kosentrasi putih telur)  nyata terhadap kandungan warna b air minuman serbuk siwalan.</t>
  </si>
  <si>
    <t>Kesimpulan: interaksi antara siwalan; nanas dengan kosentrasi putih telur tidak berpengaruh nyata terhadap kandungan warna a minuman serbuk siwalan. Faktor 1 (siwalan; nanas) sangat berpengaruh nyata terhadap kandungan warna a minuman serbuk siwalan, sedangkan faktor 2 (kosentrasi putih telur)  nyata terhadap kandungan warna a air minuman serbuk siwalan.</t>
  </si>
  <si>
    <t>Kesimpulan: interaksi antara siwalan; nanas  dengan kosentrasi putih telur tidak berpengaruh nyata terhadap Warna Ligtness minuman serbuk siwalan. Faktor 1 (siwalan; nanas) dan  faktor 2 (kosentrasi putih telur) tidak berpengaruh nyata terhadap kandungan Warna Ligtness minuman serbuk siwalan.</t>
  </si>
  <si>
    <t>Kesimpulan: interaksi antara siwalan; nanas dengan kosentrasi putih telur tidak berpengaruh nyata terhadap kandungan kelarutan minuman serbuk siwalan. Faktor 1 (siwalan; nanas) dan  faktor 2 (kosentrasi putih telur) tidak berpengaruh nyata terhadap kandungan kelarutan minuman serbuk siwalan.</t>
  </si>
  <si>
    <t>Kesimpulan: interaksi antara siwalan; nanas dengan kosentrasi putih telur tidak berpengaruh nyata terhadap kandungan kadar air minuman serbuk siwalan. Faktor 1 (siwalan; nanas) tidak berpengaruh nyata terhadap kandungan kadar air minuman serbuk siwalan, sedangkan faktor 2 (kosentrasi putih telur) sangat berpengaruh nyata terhadap kandungan air minuman serbuk siwalan.</t>
  </si>
  <si>
    <t xml:space="preserve">Kesimpulan: interaksi antara siwalan; nanas dengan kosentrasi putih telur pengeringan tidak berpengaruh nyata terhadap kandungan vit.c minuman serbuk siwalan. Faktor 1 (siwalan; nanas) tidak berpengaruh nyata terhadap vit.c minuman serbuk siwalan, sedangkan faktor 2 (kosentrasi putih telur) berpengaruh nyata terhadap kandungan vit.c minuman serbuk siwalan  </t>
  </si>
  <si>
    <t>JKT</t>
  </si>
  <si>
    <t>JKK</t>
  </si>
  <si>
    <t>JKP</t>
  </si>
  <si>
    <t>JKG</t>
  </si>
  <si>
    <t>Tabel 2 arah</t>
  </si>
  <si>
    <t>J.K.T</t>
  </si>
  <si>
    <t>J.K.P</t>
  </si>
  <si>
    <t>J.K.Interaksi TXP</t>
  </si>
  <si>
    <t>Tabel anova</t>
  </si>
  <si>
    <t>SUMBER VARIASI</t>
  </si>
  <si>
    <t>d.b</t>
  </si>
  <si>
    <t>J.K.</t>
  </si>
  <si>
    <t>K.T.</t>
  </si>
  <si>
    <t>F hitung</t>
  </si>
  <si>
    <t>F 5%</t>
  </si>
  <si>
    <t>F1%</t>
  </si>
  <si>
    <t xml:space="preserve">Kesimpulan </t>
  </si>
  <si>
    <t>KELOMPOK</t>
  </si>
  <si>
    <t>Interaksi antara siwalan; nanas dengan perlakuan kosentrasi putih telur tidak  berpengaruh nyata terhadap kandungan rendemen minuman serbuk siwalan. Faktor 1 (siwalan; nanas) berpengaruh sangat nyata terhadap kandungan rendemen minuman serbuk siwalan, sedangkan faktor 2 (kosentrasi putih telur) berpengaruh nyata terhadap kandungan rendemen minuman serbuk siwalan</t>
  </si>
  <si>
    <t>PERLAKUAN</t>
  </si>
  <si>
    <t>TXP</t>
  </si>
  <si>
    <t>GALAT</t>
  </si>
  <si>
    <t>Faktor T</t>
  </si>
  <si>
    <t>akar KTG/r</t>
  </si>
  <si>
    <t>Kesimpulan : Perlakuan T1 tidak berpengaruh nyata terhadap perlakuan T2, sedangakan berpengaruh nyata pada perlakuan T3</t>
  </si>
  <si>
    <t>Faktor P</t>
  </si>
  <si>
    <t>Kesimpulan: perlakuan P3 tidak berpengaruh nyata terhadap perlakuan p2, sedangkan berpengaruh nyata pada perlakuan 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</si>
</sst>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8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2" fontId="2" fillId="0" borderId="0" xfId="0" applyNumberFormat="1" applyFont="1"/>
    <xf numFmtId="164" fontId="2" fillId="2" borderId="0" xfId="0" applyNumberFormat="1" applyFont="1" applyFill="1"/>
    <xf numFmtId="0" fontId="2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165" fontId="2" fillId="0" borderId="0" xfId="0" applyNumberFormat="1" applyFont="1"/>
    <xf numFmtId="164" fontId="2" fillId="0" borderId="0" xfId="0" applyNumberFormat="1" applyFont="1"/>
    <xf numFmtId="0" fontId="2" fillId="4" borderId="0" xfId="0" applyFont="1" applyFill="1"/>
    <xf numFmtId="0" fontId="2" fillId="0" borderId="3" xfId="0" applyFont="1" applyBorder="1"/>
    <xf numFmtId="165" fontId="2" fillId="0" borderId="3" xfId="0" applyNumberFormat="1" applyFont="1" applyBorder="1"/>
    <xf numFmtId="0" fontId="2" fillId="4" borderId="3" xfId="0" applyFont="1" applyFill="1" applyBorder="1"/>
    <xf numFmtId="2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64" fontId="2" fillId="0" borderId="3" xfId="0" applyNumberFormat="1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2" fontId="2" fillId="0" borderId="3" xfId="0" applyNumberFormat="1" applyFont="1" applyBorder="1"/>
    <xf numFmtId="0" fontId="2" fillId="2" borderId="1" xfId="0" applyFont="1" applyFill="1" applyBorder="1"/>
    <xf numFmtId="0" fontId="2" fillId="5" borderId="1" xfId="0" applyFont="1" applyFill="1" applyBorder="1"/>
    <xf numFmtId="2" fontId="2" fillId="5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64" fontId="0" fillId="0" borderId="0" xfId="0" applyNumberFormat="1"/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" fontId="2" fillId="0" borderId="0" xfId="0" applyNumberFormat="1" applyFont="1"/>
    <xf numFmtId="1" fontId="2" fillId="0" borderId="3" xfId="0" applyNumberFormat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/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2" fontId="0" fillId="5" borderId="0" xfId="0" applyNumberForma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5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5" borderId="0" xfId="0" applyFill="1"/>
    <xf numFmtId="0" fontId="7" fillId="0" borderId="7" xfId="0" applyFont="1" applyBorder="1"/>
    <xf numFmtId="164" fontId="0" fillId="0" borderId="1" xfId="0" applyNumberFormat="1" applyBorder="1"/>
    <xf numFmtId="0" fontId="7" fillId="0" borderId="12" xfId="0" applyFont="1" applyBorder="1"/>
    <xf numFmtId="0" fontId="6" fillId="0" borderId="13" xfId="0" applyFont="1" applyBorder="1"/>
    <xf numFmtId="0" fontId="7" fillId="0" borderId="6" xfId="0" applyFont="1" applyBorder="1"/>
    <xf numFmtId="166" fontId="0" fillId="0" borderId="0" xfId="0" applyNumberFormat="1"/>
    <xf numFmtId="0" fontId="7" fillId="0" borderId="1" xfId="0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RENDEMEN!$G$2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RENDEMEN!$B$3:$B$12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RENDEMEN!$G$3:$G$12</c:f>
              <c:numCache>
                <c:formatCode>0.00</c:formatCode>
                <c:ptCount val="10"/>
                <c:pt idx="1">
                  <c:v>16.593333333333334</c:v>
                </c:pt>
                <c:pt idx="2">
                  <c:v>17.556666666666668</c:v>
                </c:pt>
                <c:pt idx="3">
                  <c:v>17.223333333333333</c:v>
                </c:pt>
                <c:pt idx="4">
                  <c:v>16.433333333333334</c:v>
                </c:pt>
                <c:pt idx="5">
                  <c:v>18.150000000000002</c:v>
                </c:pt>
                <c:pt idx="6">
                  <c:v>18.013333333333332</c:v>
                </c:pt>
                <c:pt idx="7">
                  <c:v>15.729999999999999</c:v>
                </c:pt>
                <c:pt idx="8">
                  <c:v>16.3</c:v>
                </c:pt>
                <c:pt idx="9">
                  <c:v>16.296666666666667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3-4051-8DDB-41398E2855E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5108224"/>
        <c:axId val="85336448"/>
      </c:barChart>
      <c:catAx>
        <c:axId val="851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36448"/>
        <c:crosses val="autoZero"/>
        <c:auto val="1"/>
        <c:lblAlgn val="ctr"/>
        <c:lblOffset val="100"/>
        <c:noMultiLvlLbl val="0"/>
      </c:catAx>
      <c:valAx>
        <c:axId val="853364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510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Rata-Rata Vitamin C (mg/100gr)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'VIT C'!$G$2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'VIT C'!$B$3:$B$12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'VIT C'!$G$3:$G$12</c:f>
              <c:numCache>
                <c:formatCode>0.000</c:formatCode>
                <c:ptCount val="10"/>
                <c:pt idx="1">
                  <c:v>0.02</c:v>
                </c:pt>
                <c:pt idx="2">
                  <c:v>0.03</c:v>
                </c:pt>
                <c:pt idx="3">
                  <c:v>3.6666666666666667E-2</c:v>
                </c:pt>
                <c:pt idx="4">
                  <c:v>2.3333333333333334E-2</c:v>
                </c:pt>
                <c:pt idx="5">
                  <c:v>0.02</c:v>
                </c:pt>
                <c:pt idx="6">
                  <c:v>5.000000000000001E-2</c:v>
                </c:pt>
                <c:pt idx="7">
                  <c:v>1.6666666666666666E-2</c:v>
                </c:pt>
                <c:pt idx="8">
                  <c:v>2.6666666666666668E-2</c:v>
                </c:pt>
                <c:pt idx="9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94-4ABE-AF10-FA13AF9F922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5397888"/>
        <c:axId val="85400576"/>
      </c:barChart>
      <c:catAx>
        <c:axId val="8539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400576"/>
        <c:crosses val="autoZero"/>
        <c:auto val="1"/>
        <c:lblAlgn val="ctr"/>
        <c:lblOffset val="100"/>
        <c:noMultiLvlLbl val="0"/>
      </c:catAx>
      <c:valAx>
        <c:axId val="85400576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8539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Rata-Rata Kadar Air (%)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3.3599632339621315E-2"/>
          <c:y val="0.10546465759078094"/>
          <c:w val="0.93925396300492425"/>
          <c:h val="0.71026246813453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'KADAR AIR'!$H$2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'KADAR AIR'!$C$3:$C$12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'KADAR AIR'!$H$3:$H$12</c:f>
              <c:numCache>
                <c:formatCode>0.00</c:formatCode>
                <c:ptCount val="10"/>
                <c:pt idx="1">
                  <c:v>4.5866666666666669</c:v>
                </c:pt>
                <c:pt idx="2">
                  <c:v>5.8233333333333333</c:v>
                </c:pt>
                <c:pt idx="3">
                  <c:v>7.8533333333333344</c:v>
                </c:pt>
                <c:pt idx="4">
                  <c:v>4.6866666666666665</c:v>
                </c:pt>
                <c:pt idx="5">
                  <c:v>5.72</c:v>
                </c:pt>
                <c:pt idx="6">
                  <c:v>7.7666666666666666</c:v>
                </c:pt>
                <c:pt idx="7">
                  <c:v>4.07</c:v>
                </c:pt>
                <c:pt idx="8">
                  <c:v>4.9033333333333333</c:v>
                </c:pt>
                <c:pt idx="9">
                  <c:v>7.2600000000000007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AF-48AE-BFF2-AAA6F3C53E2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5687680"/>
        <c:axId val="85698816"/>
      </c:barChart>
      <c:catAx>
        <c:axId val="8568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98816"/>
        <c:crosses val="autoZero"/>
        <c:auto val="1"/>
        <c:lblAlgn val="ctr"/>
        <c:lblOffset val="100"/>
        <c:noMultiLvlLbl val="0"/>
      </c:catAx>
      <c:valAx>
        <c:axId val="856988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5687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KELARUTAN!$G$2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KELARUTAN!$B$3:$B$12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KELARUTAN!$G$3:$G$12</c:f>
              <c:numCache>
                <c:formatCode>0.00</c:formatCode>
                <c:ptCount val="10"/>
                <c:pt idx="1">
                  <c:v>36.893333333333331</c:v>
                </c:pt>
                <c:pt idx="2">
                  <c:v>35.32</c:v>
                </c:pt>
                <c:pt idx="3">
                  <c:v>36.283333333333331</c:v>
                </c:pt>
                <c:pt idx="4">
                  <c:v>39.083333333333336</c:v>
                </c:pt>
                <c:pt idx="5">
                  <c:v>45.143333333333338</c:v>
                </c:pt>
                <c:pt idx="6">
                  <c:v>43.256666666666668</c:v>
                </c:pt>
                <c:pt idx="7">
                  <c:v>30.733333333333334</c:v>
                </c:pt>
                <c:pt idx="8">
                  <c:v>37.796666666666674</c:v>
                </c:pt>
                <c:pt idx="9">
                  <c:v>33.063333333333333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9-446B-9886-D5E9837AD32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5731584"/>
        <c:axId val="85767296"/>
      </c:barChart>
      <c:catAx>
        <c:axId val="8573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67296"/>
        <c:crosses val="autoZero"/>
        <c:auto val="1"/>
        <c:lblAlgn val="ctr"/>
        <c:lblOffset val="100"/>
        <c:noMultiLvlLbl val="0"/>
      </c:catAx>
      <c:valAx>
        <c:axId val="857672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573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Rata-Rata Warna L*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'WARNA L'!$G$2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'WARNA L'!$B$3:$B$12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'WARNA L'!$G$3:$G$12</c:f>
              <c:numCache>
                <c:formatCode>0.00</c:formatCode>
                <c:ptCount val="10"/>
                <c:pt idx="1">
                  <c:v>84.79</c:v>
                </c:pt>
                <c:pt idx="2">
                  <c:v>86.610000000000014</c:v>
                </c:pt>
                <c:pt idx="3">
                  <c:v>84.509999999999991</c:v>
                </c:pt>
                <c:pt idx="4">
                  <c:v>87.364999999999995</c:v>
                </c:pt>
                <c:pt idx="5">
                  <c:v>85.453333333333333</c:v>
                </c:pt>
                <c:pt idx="6">
                  <c:v>81.566666666666663</c:v>
                </c:pt>
                <c:pt idx="7">
                  <c:v>86.053333333333342</c:v>
                </c:pt>
                <c:pt idx="8">
                  <c:v>83.183333333333337</c:v>
                </c:pt>
                <c:pt idx="9">
                  <c:v>83.293333333333337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6A-41F7-88E5-A86EFC8D24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6350464"/>
        <c:axId val="86369792"/>
      </c:barChart>
      <c:catAx>
        <c:axId val="8635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69792"/>
        <c:crosses val="autoZero"/>
        <c:auto val="1"/>
        <c:lblAlgn val="ctr"/>
        <c:lblOffset val="100"/>
        <c:noMultiLvlLbl val="0"/>
      </c:catAx>
      <c:valAx>
        <c:axId val="863697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635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Rata-Rata Warna a*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'WARNA A'!$G$2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'WARNA A'!$B$3:$B$12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'WARNA A'!$G$3:$G$12</c:f>
              <c:numCache>
                <c:formatCode>0.00</c:formatCode>
                <c:ptCount val="10"/>
                <c:pt idx="1">
                  <c:v>5.6266666666666678</c:v>
                </c:pt>
                <c:pt idx="2">
                  <c:v>5.083333333333333</c:v>
                </c:pt>
                <c:pt idx="3">
                  <c:v>6.1999999999999993</c:v>
                </c:pt>
                <c:pt idx="4">
                  <c:v>4.58</c:v>
                </c:pt>
                <c:pt idx="5">
                  <c:v>4.8099999999999996</c:v>
                </c:pt>
                <c:pt idx="6">
                  <c:v>4.84</c:v>
                </c:pt>
                <c:pt idx="7">
                  <c:v>4.3633333333333333</c:v>
                </c:pt>
                <c:pt idx="8">
                  <c:v>4.46</c:v>
                </c:pt>
                <c:pt idx="9">
                  <c:v>4.3933333333333335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C1-4728-A937-E11DB1A2A28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6435328"/>
        <c:axId val="86438272"/>
      </c:barChart>
      <c:catAx>
        <c:axId val="8643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38272"/>
        <c:crosses val="autoZero"/>
        <c:auto val="1"/>
        <c:lblAlgn val="ctr"/>
        <c:lblOffset val="100"/>
        <c:noMultiLvlLbl val="0"/>
      </c:catAx>
      <c:valAx>
        <c:axId val="864382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643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Rata-Rata Warna b*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486001749781276E-2"/>
          <c:y val="0.21747703412073491"/>
          <c:w val="0.93888888888888888"/>
          <c:h val="0.69827172645086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'WARNA B'!$G$2</c:f>
              <c:strCache>
                <c:ptCount val="1"/>
                <c:pt idx="0">
                  <c:v>Rata-Rata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'WARNA B'!$B$3:$B$12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'WARNA B'!$G$3:$G$12</c:f>
              <c:numCache>
                <c:formatCode>0.00</c:formatCode>
                <c:ptCount val="10"/>
                <c:pt idx="1">
                  <c:v>18.693333333333332</c:v>
                </c:pt>
                <c:pt idx="2">
                  <c:v>17.37</c:v>
                </c:pt>
                <c:pt idx="3">
                  <c:v>19.276666666666667</c:v>
                </c:pt>
                <c:pt idx="4">
                  <c:v>15.726666666666668</c:v>
                </c:pt>
                <c:pt idx="5">
                  <c:v>15.19</c:v>
                </c:pt>
                <c:pt idx="6">
                  <c:v>15.01</c:v>
                </c:pt>
                <c:pt idx="7">
                  <c:v>14.26</c:v>
                </c:pt>
                <c:pt idx="8">
                  <c:v>15.036666666666667</c:v>
                </c:pt>
                <c:pt idx="9">
                  <c:v>14.209999999999999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46-441C-AC5E-C1A5ECDEDC3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9832192"/>
        <c:axId val="99834880"/>
      </c:barChart>
      <c:catAx>
        <c:axId val="998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34880"/>
        <c:crosses val="autoZero"/>
        <c:auto val="1"/>
        <c:lblAlgn val="ctr"/>
        <c:lblOffset val="100"/>
        <c:noMultiLvlLbl val="0"/>
      </c:catAx>
      <c:valAx>
        <c:axId val="998348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983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Rata-rata Antioksidan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ANTIOKSIDAN!$G$2</c:f>
              <c:strCache>
                <c:ptCount val="1"/>
                <c:pt idx="0">
                  <c:v>Rerata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ANTIOKSIDAN!$B$3:$B$12</c:f>
              <c:strCache>
                <c:ptCount val="10"/>
                <c:pt idx="1">
                  <c:v>S1N1T1</c:v>
                </c:pt>
                <c:pt idx="2">
                  <c:v>S1N1T2</c:v>
                </c:pt>
                <c:pt idx="3">
                  <c:v>S1N1T3</c:v>
                </c:pt>
                <c:pt idx="4">
                  <c:v>S2N2T1</c:v>
                </c:pt>
                <c:pt idx="5">
                  <c:v>S2N2T2</c:v>
                </c:pt>
                <c:pt idx="6">
                  <c:v>S2N2T3</c:v>
                </c:pt>
                <c:pt idx="7">
                  <c:v>S3N3T1</c:v>
                </c:pt>
                <c:pt idx="8">
                  <c:v>S3N3T2</c:v>
                </c:pt>
                <c:pt idx="9">
                  <c:v>S3N3T3</c:v>
                </c:pt>
              </c:strCache>
            </c:strRef>
          </c:cat>
          <c:val>
            <c:numRef>
              <c:f>ANTIOKSIDAN!$G$3:$G$12</c:f>
              <c:numCache>
                <c:formatCode>0.00</c:formatCode>
                <c:ptCount val="10"/>
                <c:pt idx="1">
                  <c:v>246.02666666666664</c:v>
                </c:pt>
                <c:pt idx="2">
                  <c:v>222.02666666666664</c:v>
                </c:pt>
                <c:pt idx="3">
                  <c:v>198.33</c:v>
                </c:pt>
                <c:pt idx="4">
                  <c:v>211.73333333333335</c:v>
                </c:pt>
                <c:pt idx="5">
                  <c:v>316.35999999999996</c:v>
                </c:pt>
                <c:pt idx="6">
                  <c:v>170.64000000000001</c:v>
                </c:pt>
                <c:pt idx="7">
                  <c:v>195.18999999999997</c:v>
                </c:pt>
                <c:pt idx="8">
                  <c:v>351.31333333333333</c:v>
                </c:pt>
                <c:pt idx="9">
                  <c:v>145.74333333333334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1-4099-BE61-5FA83E5DAEE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9867648"/>
        <c:axId val="99956608"/>
      </c:barChart>
      <c:catAx>
        <c:axId val="9986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56608"/>
        <c:crosses val="autoZero"/>
        <c:auto val="1"/>
        <c:lblAlgn val="ctr"/>
        <c:lblOffset val="100"/>
        <c:noMultiLvlLbl val="0"/>
      </c:catAx>
      <c:valAx>
        <c:axId val="999566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986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347240</xdr:colOff>
      <xdr:row>33</xdr:row>
      <xdr:rowOff>37830</xdr:rowOff>
    </xdr:from>
    <xdr:to>
      <xdr:col>26</xdr:col>
      <xdr:colOff>7686</xdr:colOff>
      <xdr:row>46</xdr:row>
      <xdr:rowOff>173561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44</xdr:row>
      <xdr:rowOff>28575</xdr:rowOff>
    </xdr:from>
    <xdr:to>
      <xdr:col>3</xdr:col>
      <xdr:colOff>377331</xdr:colOff>
      <xdr:row>47</xdr:row>
      <xdr:rowOff>29681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4B8ACF-1BA9-4955-898A-7A87D42D5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8582025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199430</xdr:colOff>
      <xdr:row>30</xdr:row>
      <xdr:rowOff>94356</xdr:rowOff>
    </xdr:from>
    <xdr:to>
      <xdr:col>28</xdr:col>
      <xdr:colOff>500063</xdr:colOff>
      <xdr:row>45</xdr:row>
      <xdr:rowOff>39587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22</xdr:row>
      <xdr:rowOff>0</xdr:rowOff>
    </xdr:from>
    <xdr:to>
      <xdr:col>10</xdr:col>
      <xdr:colOff>277848</xdr:colOff>
      <xdr:row>24</xdr:row>
      <xdr:rowOff>170440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4402667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329713</xdr:colOff>
      <xdr:row>35</xdr:row>
      <xdr:rowOff>87861</xdr:rowOff>
    </xdr:from>
    <xdr:to>
      <xdr:col>27</xdr:col>
      <xdr:colOff>85480</xdr:colOff>
      <xdr:row>48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24423</xdr:colOff>
      <xdr:row>20</xdr:row>
      <xdr:rowOff>195384</xdr:rowOff>
    </xdr:from>
    <xdr:to>
      <xdr:col>11</xdr:col>
      <xdr:colOff>34431</xdr:colOff>
      <xdr:row>23</xdr:row>
      <xdr:rowOff>181836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2500" y="4103076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142875</xdr:colOff>
      <xdr:row>30</xdr:row>
      <xdr:rowOff>80962</xdr:rowOff>
    </xdr:from>
    <xdr:to>
      <xdr:col>28</xdr:col>
      <xdr:colOff>492125</xdr:colOff>
      <xdr:row>50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21</xdr:row>
      <xdr:rowOff>0</xdr:rowOff>
    </xdr:from>
    <xdr:to>
      <xdr:col>10</xdr:col>
      <xdr:colOff>119098</xdr:colOff>
      <xdr:row>23</xdr:row>
      <xdr:rowOff>170440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2917" y="4212167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206580</xdr:colOff>
      <xdr:row>25</xdr:row>
      <xdr:rowOff>125187</xdr:rowOff>
    </xdr:from>
    <xdr:to>
      <xdr:col>21</xdr:col>
      <xdr:colOff>535626</xdr:colOff>
      <xdr:row>39</xdr:row>
      <xdr:rowOff>146958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875600</xdr:colOff>
      <xdr:row>23</xdr:row>
      <xdr:rowOff>176762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695" y="4143994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161925</xdr:colOff>
      <xdr:row>0</xdr:row>
      <xdr:rowOff>14287</xdr:rowOff>
    </xdr:from>
    <xdr:to>
      <xdr:col>19</xdr:col>
      <xdr:colOff>457200</xdr:colOff>
      <xdr:row>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23813</xdr:colOff>
      <xdr:row>22</xdr:row>
      <xdr:rowOff>35719</xdr:rowOff>
    </xdr:from>
    <xdr:to>
      <xdr:col>10</xdr:col>
      <xdr:colOff>463057</xdr:colOff>
      <xdr:row>25</xdr:row>
      <xdr:rowOff>1106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1563" y="4476750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88900</xdr:colOff>
      <xdr:row>40</xdr:row>
      <xdr:rowOff>25400</xdr:rowOff>
    </xdr:from>
    <xdr:to>
      <xdr:col>22</xdr:col>
      <xdr:colOff>393700</xdr:colOff>
      <xdr:row>54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22</xdr:row>
      <xdr:rowOff>38100</xdr:rowOff>
    </xdr:from>
    <xdr:to>
      <xdr:col>10</xdr:col>
      <xdr:colOff>97931</xdr:colOff>
      <xdr:row>25</xdr:row>
      <xdr:rowOff>1106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8600" y="4495800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342180</xdr:colOff>
      <xdr:row>3</xdr:row>
      <xdr:rowOff>152479</xdr:rowOff>
    </xdr:from>
    <xdr:to>
      <xdr:col>29</xdr:col>
      <xdr:colOff>11607</xdr:colOff>
      <xdr:row>17</xdr:row>
      <xdr:rowOff>46183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22</xdr:row>
      <xdr:rowOff>0</xdr:rowOff>
    </xdr:from>
    <xdr:to>
      <xdr:col>9</xdr:col>
      <xdr:colOff>1014946</xdr:colOff>
      <xdr:row>24</xdr:row>
      <xdr:rowOff>180400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8787" y="4314265"/>
          <a:ext cx="1939431" cy="57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24740</xdr:colOff>
      <xdr:row>1</xdr:row>
      <xdr:rowOff>61849</xdr:rowOff>
    </xdr:from>
    <xdr:to>
      <xdr:col>33</xdr:col>
      <xdr:colOff>412875</xdr:colOff>
      <xdr:row>5</xdr:row>
      <xdr:rowOff>175162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3052" y="259771"/>
          <a:ext cx="3258005" cy="90500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28</xdr:col>
      <xdr:colOff>420584</xdr:colOff>
      <xdr:row>7</xdr:row>
      <xdr:rowOff>160811</xdr:rowOff>
    </xdr:from>
    <xdr:to>
      <xdr:col>30</xdr:col>
      <xdr:colOff>84733</xdr:colOff>
      <xdr:row>9</xdr:row>
      <xdr:rowOff>47913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2759" y="1546266"/>
          <a:ext cx="876422" cy="295316"/>
        </a:xfrm>
        <a:prstGeom prst="rect">
          <a:avLst/>
        </a:prstGeom>
      </xdr:spPr>
    </xdr:pic>
    <xdr:clientData/>
  </xdr:twoCellAnchor>
  <xdr:twoCellAnchor editAs="oneCell">
    <xdr:from>
      <xdr:col>28</xdr:col>
      <xdr:colOff>581397</xdr:colOff>
      <xdr:row>9</xdr:row>
      <xdr:rowOff>24740</xdr:rowOff>
    </xdr:from>
    <xdr:to>
      <xdr:col>30</xdr:col>
      <xdr:colOff>35967</xdr:colOff>
      <xdr:row>11</xdr:row>
      <xdr:rowOff>98962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43572" y="1806039"/>
          <a:ext cx="666843" cy="470066"/>
        </a:xfrm>
        <a:prstGeom prst="rect">
          <a:avLst/>
        </a:prstGeom>
      </xdr:spPr>
    </xdr:pic>
    <xdr:clientData/>
  </xdr:twoCellAnchor>
  <xdr:twoCellAnchor editAs="oneCell">
    <xdr:from>
      <xdr:col>32</xdr:col>
      <xdr:colOff>507176</xdr:colOff>
      <xdr:row>7</xdr:row>
      <xdr:rowOff>49480</xdr:rowOff>
    </xdr:from>
    <xdr:to>
      <xdr:col>34</xdr:col>
      <xdr:colOff>430950</xdr:colOff>
      <xdr:row>11</xdr:row>
      <xdr:rowOff>45634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93897" y="1434935"/>
          <a:ext cx="1581371" cy="800212"/>
        </a:xfrm>
        <a:prstGeom prst="rect">
          <a:avLst/>
        </a:prstGeom>
      </xdr:spPr>
    </xdr:pic>
    <xdr:clientData/>
  </xdr:twoCellAnchor>
  <xdr:twoCellAnchor editAs="oneCell">
    <xdr:from>
      <xdr:col>28</xdr:col>
      <xdr:colOff>346363</xdr:colOff>
      <xdr:row>13</xdr:row>
      <xdr:rowOff>111332</xdr:rowOff>
    </xdr:from>
    <xdr:to>
      <xdr:col>30</xdr:col>
      <xdr:colOff>105776</xdr:colOff>
      <xdr:row>15</xdr:row>
      <xdr:rowOff>74222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08538" y="2684319"/>
          <a:ext cx="971686" cy="358734"/>
        </a:xfrm>
        <a:prstGeom prst="rect">
          <a:avLst/>
        </a:prstGeom>
      </xdr:spPr>
    </xdr:pic>
    <xdr:clientData/>
  </xdr:twoCellAnchor>
  <xdr:oneCellAnchor>
    <xdr:from>
      <xdr:col>32</xdr:col>
      <xdr:colOff>470065</xdr:colOff>
      <xdr:row>14</xdr:row>
      <xdr:rowOff>142011</xdr:rowOff>
    </xdr:from>
    <xdr:ext cx="721252" cy="2414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800-000008000000}"/>
                </a:ext>
              </a:extLst>
            </xdr:cNvPr>
            <xdr:cNvSpPr txBox="1"/>
          </xdr:nvSpPr>
          <xdr:spPr>
            <a:xfrm>
              <a:off x="24356786" y="2912920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14:m>
                <m:oMath xmlns:m="http://schemas.openxmlformats.org/officeDocument/2006/math">
                  <m:sSup>
                    <m:sSupPr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id-ID" sz="1100" i="1">
                          <a:latin typeface="Cambria Math"/>
                        </a:rPr>
                        <m:t>𝑟</m:t>
                      </m:r>
                    </m:e>
                    <m:sup>
                      <m:r>
                        <a:rPr lang="id-ID" sz="1100" i="1">
                          <a:latin typeface="Cambria Math"/>
                        </a:rPr>
                        <m:t>2</m:t>
                      </m:r>
                    </m:sup>
                  </m:sSup>
                </m:oMath>
              </a14:m>
              <a:endParaRPr lang="id-ID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4356786" y="2912920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:r>
                <a:rPr lang="id-ID" sz="1100" i="0">
                  <a:latin typeface="Cambria Math"/>
                </a:rPr>
                <a:t>𝑟^2</a:t>
              </a:r>
              <a:endParaRPr lang="id-ID" sz="1100"/>
            </a:p>
          </xdr:txBody>
        </xdr:sp>
      </mc:Fallback>
    </mc:AlternateContent>
    <xdr:clientData/>
  </xdr:oneCellAnchor>
  <xdr:twoCellAnchor editAs="oneCell">
    <xdr:from>
      <xdr:col>30</xdr:col>
      <xdr:colOff>0</xdr:colOff>
      <xdr:row>38</xdr:row>
      <xdr:rowOff>0</xdr:rowOff>
    </xdr:from>
    <xdr:to>
      <xdr:col>34</xdr:col>
      <xdr:colOff>388135</xdr:colOff>
      <xdr:row>42</xdr:row>
      <xdr:rowOff>113312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7521039"/>
          <a:ext cx="3258005" cy="90500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210292</xdr:colOff>
      <xdr:row>44</xdr:row>
      <xdr:rowOff>12370</xdr:rowOff>
    </xdr:from>
    <xdr:to>
      <xdr:col>31</xdr:col>
      <xdr:colOff>480578</xdr:colOff>
      <xdr:row>45</xdr:row>
      <xdr:rowOff>109764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84740" y="8720941"/>
          <a:ext cx="876422" cy="295316"/>
        </a:xfrm>
        <a:prstGeom prst="rect">
          <a:avLst/>
        </a:prstGeom>
      </xdr:spPr>
    </xdr:pic>
    <xdr:clientData/>
  </xdr:twoCellAnchor>
  <xdr:twoCellAnchor editAs="oneCell">
    <xdr:from>
      <xdr:col>30</xdr:col>
      <xdr:colOff>321624</xdr:colOff>
      <xdr:row>45</xdr:row>
      <xdr:rowOff>173181</xdr:rowOff>
    </xdr:from>
    <xdr:to>
      <xdr:col>31</xdr:col>
      <xdr:colOff>493662</xdr:colOff>
      <xdr:row>49</xdr:row>
      <xdr:rowOff>86590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96072" y="9079675"/>
          <a:ext cx="778174" cy="705097"/>
        </a:xfrm>
        <a:prstGeom prst="rect">
          <a:avLst/>
        </a:prstGeom>
      </xdr:spPr>
    </xdr:pic>
    <xdr:clientData/>
  </xdr:twoCellAnchor>
  <xdr:twoCellAnchor editAs="oneCell">
    <xdr:from>
      <xdr:col>34</xdr:col>
      <xdr:colOff>12370</xdr:colOff>
      <xdr:row>43</xdr:row>
      <xdr:rowOff>61851</xdr:rowOff>
    </xdr:from>
    <xdr:to>
      <xdr:col>36</xdr:col>
      <xdr:colOff>257767</xdr:colOff>
      <xdr:row>47</xdr:row>
      <xdr:rowOff>58005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56688" y="8572500"/>
          <a:ext cx="1581371" cy="800212"/>
        </a:xfrm>
        <a:prstGeom prst="rect">
          <a:avLst/>
        </a:prstGeom>
      </xdr:spPr>
    </xdr:pic>
    <xdr:clientData/>
  </xdr:twoCellAnchor>
  <xdr:twoCellAnchor editAs="oneCell">
    <xdr:from>
      <xdr:col>30</xdr:col>
      <xdr:colOff>259773</xdr:colOff>
      <xdr:row>49</xdr:row>
      <xdr:rowOff>173182</xdr:rowOff>
    </xdr:from>
    <xdr:to>
      <xdr:col>32</xdr:col>
      <xdr:colOff>19186</xdr:colOff>
      <xdr:row>51</xdr:row>
      <xdr:rowOff>136072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34221" y="9871364"/>
          <a:ext cx="971686" cy="358734"/>
        </a:xfrm>
        <a:prstGeom prst="rect">
          <a:avLst/>
        </a:prstGeom>
      </xdr:spPr>
    </xdr:pic>
    <xdr:clientData/>
  </xdr:twoCellAnchor>
  <xdr:oneCellAnchor>
    <xdr:from>
      <xdr:col>34</xdr:col>
      <xdr:colOff>470065</xdr:colOff>
      <xdr:row>51</xdr:row>
      <xdr:rowOff>142011</xdr:rowOff>
    </xdr:from>
    <xdr:ext cx="721252" cy="2414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 txBox="1"/>
          </xdr:nvSpPr>
          <xdr:spPr>
            <a:xfrm>
              <a:off x="24356786" y="2912920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14:m>
                <m:oMath xmlns:m="http://schemas.openxmlformats.org/officeDocument/2006/math">
                  <m:sSup>
                    <m:sSupPr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id-ID" sz="1100" i="1">
                          <a:latin typeface="Cambria Math"/>
                        </a:rPr>
                        <m:t>𝑟</m:t>
                      </m:r>
                    </m:e>
                    <m:sup>
                      <m:r>
                        <a:rPr lang="id-ID" sz="1100" i="1">
                          <a:latin typeface="Cambria Math"/>
                        </a:rPr>
                        <m:t>2</m:t>
                      </m:r>
                    </m:sup>
                  </m:sSup>
                </m:oMath>
              </a14:m>
              <a:endParaRPr lang="id-ID" sz="1100"/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24356786" y="2912920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:r>
                <a:rPr lang="id-ID" sz="1100" i="0">
                  <a:latin typeface="Cambria Math"/>
                </a:rPr>
                <a:t>𝑟^2</a:t>
              </a:r>
              <a:endParaRPr lang="id-ID" sz="1100"/>
            </a:p>
          </xdr:txBody>
        </xdr:sp>
      </mc:Fallback>
    </mc:AlternateContent>
    <xdr:clientData/>
  </xdr:oneCellAnchor>
  <xdr:twoCellAnchor editAs="oneCell">
    <xdr:from>
      <xdr:col>30</xdr:col>
      <xdr:colOff>0</xdr:colOff>
      <xdr:row>73</xdr:row>
      <xdr:rowOff>0</xdr:rowOff>
    </xdr:from>
    <xdr:to>
      <xdr:col>34</xdr:col>
      <xdr:colOff>388135</xdr:colOff>
      <xdr:row>77</xdr:row>
      <xdr:rowOff>113312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14448312"/>
          <a:ext cx="3258005" cy="90500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0</xdr:colOff>
      <xdr:row>79</xdr:row>
      <xdr:rowOff>0</xdr:rowOff>
    </xdr:from>
    <xdr:to>
      <xdr:col>31</xdr:col>
      <xdr:colOff>270286</xdr:colOff>
      <xdr:row>80</xdr:row>
      <xdr:rowOff>97394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15635844"/>
          <a:ext cx="876422" cy="295316"/>
        </a:xfrm>
        <a:prstGeom prst="rect">
          <a:avLst/>
        </a:prstGeom>
      </xdr:spPr>
    </xdr:pic>
    <xdr:clientData/>
  </xdr:twoCellAnchor>
  <xdr:twoCellAnchor editAs="oneCell">
    <xdr:from>
      <xdr:col>30</xdr:col>
      <xdr:colOff>235032</xdr:colOff>
      <xdr:row>81</xdr:row>
      <xdr:rowOff>185552</xdr:rowOff>
    </xdr:from>
    <xdr:to>
      <xdr:col>31</xdr:col>
      <xdr:colOff>407070</xdr:colOff>
      <xdr:row>85</xdr:row>
      <xdr:rowOff>98961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09480" y="16217240"/>
          <a:ext cx="778174" cy="705097"/>
        </a:xfrm>
        <a:prstGeom prst="rect">
          <a:avLst/>
        </a:prstGeom>
      </xdr:spPr>
    </xdr:pic>
    <xdr:clientData/>
  </xdr:twoCellAnchor>
  <xdr:twoCellAnchor editAs="oneCell">
    <xdr:from>
      <xdr:col>34</xdr:col>
      <xdr:colOff>0</xdr:colOff>
      <xdr:row>79</xdr:row>
      <xdr:rowOff>0</xdr:rowOff>
    </xdr:from>
    <xdr:to>
      <xdr:col>36</xdr:col>
      <xdr:colOff>245397</xdr:colOff>
      <xdr:row>83</xdr:row>
      <xdr:rowOff>8524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44318" y="15635844"/>
          <a:ext cx="1581371" cy="800212"/>
        </a:xfrm>
        <a:prstGeom prst="rect">
          <a:avLst/>
        </a:prstGeom>
      </xdr:spPr>
    </xdr:pic>
    <xdr:clientData/>
  </xdr:twoCellAnchor>
  <xdr:twoCellAnchor editAs="oneCell">
    <xdr:from>
      <xdr:col>30</xdr:col>
      <xdr:colOff>197922</xdr:colOff>
      <xdr:row>86</xdr:row>
      <xdr:rowOff>37110</xdr:rowOff>
    </xdr:from>
    <xdr:to>
      <xdr:col>31</xdr:col>
      <xdr:colOff>563472</xdr:colOff>
      <xdr:row>87</xdr:row>
      <xdr:rowOff>197922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72370" y="17058409"/>
          <a:ext cx="971686" cy="358734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108</xdr:row>
      <xdr:rowOff>0</xdr:rowOff>
    </xdr:from>
    <xdr:to>
      <xdr:col>34</xdr:col>
      <xdr:colOff>388135</xdr:colOff>
      <xdr:row>112</xdr:row>
      <xdr:rowOff>113312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21375584"/>
          <a:ext cx="3258005" cy="90500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0</xdr:colOff>
      <xdr:row>114</xdr:row>
      <xdr:rowOff>0</xdr:rowOff>
    </xdr:from>
    <xdr:to>
      <xdr:col>31</xdr:col>
      <xdr:colOff>270286</xdr:colOff>
      <xdr:row>115</xdr:row>
      <xdr:rowOff>97394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22563117"/>
          <a:ext cx="876422" cy="295316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117</xdr:row>
      <xdr:rowOff>0</xdr:rowOff>
    </xdr:from>
    <xdr:to>
      <xdr:col>31</xdr:col>
      <xdr:colOff>172038</xdr:colOff>
      <xdr:row>120</xdr:row>
      <xdr:rowOff>111331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74448" y="23156883"/>
          <a:ext cx="778174" cy="705097"/>
        </a:xfrm>
        <a:prstGeom prst="rect">
          <a:avLst/>
        </a:prstGeom>
      </xdr:spPr>
    </xdr:pic>
    <xdr:clientData/>
  </xdr:twoCellAnchor>
  <xdr:twoCellAnchor editAs="oneCell">
    <xdr:from>
      <xdr:col>34</xdr:col>
      <xdr:colOff>309254</xdr:colOff>
      <xdr:row>113</xdr:row>
      <xdr:rowOff>0</xdr:rowOff>
    </xdr:from>
    <xdr:to>
      <xdr:col>36</xdr:col>
      <xdr:colOff>554651</xdr:colOff>
      <xdr:row>116</xdr:row>
      <xdr:rowOff>194076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53572" y="22365195"/>
          <a:ext cx="1581371" cy="800212"/>
        </a:xfrm>
        <a:prstGeom prst="rect">
          <a:avLst/>
        </a:prstGeom>
      </xdr:spPr>
    </xdr:pic>
    <xdr:clientData/>
  </xdr:twoCellAnchor>
  <xdr:twoCellAnchor editAs="oneCell">
    <xdr:from>
      <xdr:col>30</xdr:col>
      <xdr:colOff>61851</xdr:colOff>
      <xdr:row>121</xdr:row>
      <xdr:rowOff>74221</xdr:rowOff>
    </xdr:from>
    <xdr:to>
      <xdr:col>31</xdr:col>
      <xdr:colOff>427401</xdr:colOff>
      <xdr:row>123</xdr:row>
      <xdr:rowOff>24740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36299" y="24022792"/>
          <a:ext cx="971686" cy="358734"/>
        </a:xfrm>
        <a:prstGeom prst="rect">
          <a:avLst/>
        </a:prstGeom>
      </xdr:spPr>
    </xdr:pic>
    <xdr:clientData/>
  </xdr:twoCellAnchor>
  <xdr:oneCellAnchor>
    <xdr:from>
      <xdr:col>34</xdr:col>
      <xdr:colOff>470065</xdr:colOff>
      <xdr:row>87</xdr:row>
      <xdr:rowOff>142011</xdr:rowOff>
    </xdr:from>
    <xdr:ext cx="721252" cy="2414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SpPr txBox="1"/>
          </xdr:nvSpPr>
          <xdr:spPr>
            <a:xfrm>
              <a:off x="26014383" y="10236037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14:m>
                <m:oMath xmlns:m="http://schemas.openxmlformats.org/officeDocument/2006/math">
                  <m:sSup>
                    <m:sSupPr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id-ID" sz="1100" i="1">
                          <a:latin typeface="Cambria Math"/>
                        </a:rPr>
                        <m:t>𝑟</m:t>
                      </m:r>
                    </m:e>
                    <m:sup>
                      <m:r>
                        <a:rPr lang="id-ID" sz="1100" i="1">
                          <a:latin typeface="Cambria Math"/>
                        </a:rPr>
                        <m:t>2</m:t>
                      </m:r>
                    </m:sup>
                  </m:sSup>
                </m:oMath>
              </a14:m>
              <a:endParaRPr lang="id-ID" sz="11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6014383" y="10236037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:r>
                <a:rPr lang="id-ID" sz="1100" i="0">
                  <a:latin typeface="Cambria Math"/>
                </a:rPr>
                <a:t>𝑟^2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34</xdr:col>
      <xdr:colOff>470065</xdr:colOff>
      <xdr:row>123</xdr:row>
      <xdr:rowOff>142011</xdr:rowOff>
    </xdr:from>
    <xdr:ext cx="721252" cy="2414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00000000-0008-0000-0800-00001B000000}"/>
                </a:ext>
              </a:extLst>
            </xdr:cNvPr>
            <xdr:cNvSpPr txBox="1"/>
          </xdr:nvSpPr>
          <xdr:spPr>
            <a:xfrm>
              <a:off x="26014383" y="17361232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14:m>
                <m:oMath xmlns:m="http://schemas.openxmlformats.org/officeDocument/2006/math">
                  <m:sSup>
                    <m:sSupPr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id-ID" sz="1100" i="1">
                          <a:latin typeface="Cambria Math"/>
                        </a:rPr>
                        <m:t>𝑟</m:t>
                      </m:r>
                    </m:e>
                    <m:sup>
                      <m:r>
                        <a:rPr lang="id-ID" sz="1100" i="1">
                          <a:latin typeface="Cambria Math"/>
                        </a:rPr>
                        <m:t>2</m:t>
                      </m:r>
                    </m:sup>
                  </m:sSup>
                </m:oMath>
              </a14:m>
              <a:endParaRPr lang="id-ID" sz="1100"/>
            </a:p>
          </xdr:txBody>
        </xdr:sp>
      </mc:Choice>
      <mc:Fallback xmlns="">
        <xdr:sp macro="" textlink="">
          <xdr:nvSpPr>
            <xdr:cNvPr id="27" name="TextBox 26"/>
            <xdr:cNvSpPr txBox="1"/>
          </xdr:nvSpPr>
          <xdr:spPr>
            <a:xfrm>
              <a:off x="26014383" y="17361232"/>
              <a:ext cx="721252" cy="2414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r>
                <a:rPr lang="id-ID" sz="1600"/>
                <a:t>X</a:t>
              </a:r>
              <a:r>
                <a:rPr lang="id-ID" sz="1100" i="0">
                  <a:latin typeface="Cambria Math"/>
                </a:rPr>
                <a:t>𝑟^2</a:t>
              </a:r>
              <a:endParaRPr lang="id-ID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52"/>
  <sheetViews>
    <sheetView topLeftCell="F16" zoomScaleNormal="100" workbookViewId="0">
      <selection activeCell="E23" sqref="E23"/>
    </sheetView>
  </sheetViews>
  <sheetFormatPr defaultRowHeight="15" x14ac:dyDescent="0.25"/>
  <cols>
    <col min="2" max="2" width="18.28515625" customWidth="1"/>
    <col min="3" max="3" width="10.42578125" customWidth="1"/>
    <col min="4" max="5" width="9.28515625" bestFit="1" customWidth="1"/>
    <col min="6" max="6" width="14" customWidth="1"/>
    <col min="7" max="7" width="13.5703125" customWidth="1"/>
    <col min="8" max="8" width="14.85546875" customWidth="1"/>
    <col min="9" max="9" width="14.140625" customWidth="1"/>
    <col min="10" max="10" width="10.7109375" bestFit="1" customWidth="1"/>
    <col min="11" max="11" width="15.5703125" customWidth="1"/>
    <col min="12" max="12" width="13" customWidth="1"/>
    <col min="13" max="15" width="9.28515625" bestFit="1" customWidth="1"/>
  </cols>
  <sheetData>
    <row r="2" spans="2:27" ht="15.75" x14ac:dyDescent="0.25">
      <c r="B2" s="77" t="s">
        <v>0</v>
      </c>
      <c r="C2" s="77" t="s">
        <v>1</v>
      </c>
      <c r="D2" s="77"/>
      <c r="E2" s="77"/>
      <c r="F2" s="77" t="s">
        <v>2</v>
      </c>
      <c r="G2" s="77" t="s">
        <v>3</v>
      </c>
      <c r="H2" s="21"/>
      <c r="I2" s="21"/>
      <c r="J2" s="21"/>
      <c r="K2" s="21"/>
      <c r="L2" s="21"/>
      <c r="M2" s="21"/>
      <c r="N2" s="21"/>
      <c r="O2" s="21"/>
      <c r="P2" s="21"/>
      <c r="X2" t="s">
        <v>51</v>
      </c>
      <c r="Y2" t="s">
        <v>60</v>
      </c>
      <c r="Z2" t="s">
        <v>53</v>
      </c>
      <c r="AA2" t="s">
        <v>54</v>
      </c>
    </row>
    <row r="3" spans="2:27" ht="15.75" x14ac:dyDescent="0.25">
      <c r="B3" s="77"/>
      <c r="C3" s="2" t="s">
        <v>4</v>
      </c>
      <c r="D3" s="2" t="s">
        <v>5</v>
      </c>
      <c r="E3" s="2" t="s">
        <v>6</v>
      </c>
      <c r="F3" s="77"/>
      <c r="G3" s="77"/>
      <c r="H3" s="21"/>
      <c r="I3" s="25" t="s">
        <v>7</v>
      </c>
      <c r="J3" s="21">
        <v>3</v>
      </c>
      <c r="K3" s="21"/>
      <c r="L3" s="21"/>
      <c r="M3" s="21"/>
      <c r="N3" s="21"/>
      <c r="O3" s="21"/>
      <c r="P3" s="21"/>
      <c r="X3" t="s">
        <v>39</v>
      </c>
      <c r="Y3" t="s">
        <v>36</v>
      </c>
      <c r="Z3">
        <v>1</v>
      </c>
      <c r="AA3">
        <f>C4</f>
        <v>18.079999999999998</v>
      </c>
    </row>
    <row r="4" spans="2:27" ht="15.75" x14ac:dyDescent="0.25">
      <c r="B4" s="4" t="s">
        <v>79</v>
      </c>
      <c r="C4" s="4">
        <v>18.079999999999998</v>
      </c>
      <c r="D4" s="4">
        <v>16.03</v>
      </c>
      <c r="E4" s="4">
        <v>15.67</v>
      </c>
      <c r="F4" s="4">
        <f>SUM(C4:E4)</f>
        <v>49.78</v>
      </c>
      <c r="G4" s="26">
        <f>AVERAGE(C4:E4)</f>
        <v>16.593333333333334</v>
      </c>
      <c r="H4" s="27">
        <f>STDEV(C4:E4)</f>
        <v>1.3000128204496024</v>
      </c>
      <c r="I4" s="25" t="s">
        <v>9</v>
      </c>
      <c r="J4" s="21">
        <v>3</v>
      </c>
      <c r="K4" s="21"/>
      <c r="L4" s="21"/>
      <c r="M4" s="21"/>
      <c r="N4" s="21"/>
      <c r="O4" s="21"/>
      <c r="P4" s="21"/>
      <c r="X4" t="s">
        <v>39</v>
      </c>
      <c r="Y4" t="s">
        <v>36</v>
      </c>
      <c r="Z4">
        <v>2</v>
      </c>
      <c r="AA4">
        <f>D4</f>
        <v>16.03</v>
      </c>
    </row>
    <row r="5" spans="2:27" ht="15.75" x14ac:dyDescent="0.25">
      <c r="B5" s="8" t="s">
        <v>80</v>
      </c>
      <c r="C5" s="4">
        <v>18.97</v>
      </c>
      <c r="D5" s="4">
        <v>17.420000000000002</v>
      </c>
      <c r="E5" s="4">
        <v>16.28</v>
      </c>
      <c r="F5" s="4">
        <f t="shared" ref="F5:F12" si="0">SUM(C5:E5)</f>
        <v>52.67</v>
      </c>
      <c r="G5" s="26">
        <f t="shared" ref="G5:G12" si="1">AVERAGE(C5:E5)</f>
        <v>17.556666666666668</v>
      </c>
      <c r="H5" s="27">
        <f t="shared" ref="H5:H12" si="2">STDEV(C5:E5)</f>
        <v>1.3501975164150355</v>
      </c>
      <c r="I5" s="25" t="s">
        <v>11</v>
      </c>
      <c r="J5" s="21">
        <v>3</v>
      </c>
      <c r="K5" s="21"/>
      <c r="L5" s="21"/>
      <c r="M5" s="21"/>
      <c r="N5" s="21"/>
      <c r="O5" s="21"/>
      <c r="P5" s="21"/>
      <c r="X5" t="s">
        <v>39</v>
      </c>
      <c r="Y5" t="s">
        <v>36</v>
      </c>
      <c r="Z5">
        <v>3</v>
      </c>
      <c r="AA5">
        <f>E4</f>
        <v>15.67</v>
      </c>
    </row>
    <row r="6" spans="2:27" ht="15.75" x14ac:dyDescent="0.25">
      <c r="B6" s="8" t="s">
        <v>87</v>
      </c>
      <c r="C6" s="4">
        <v>17.690000000000001</v>
      </c>
      <c r="D6" s="4">
        <v>17.059999999999999</v>
      </c>
      <c r="E6" s="4">
        <v>16.920000000000002</v>
      </c>
      <c r="F6" s="4">
        <f t="shared" si="0"/>
        <v>51.67</v>
      </c>
      <c r="G6" s="26">
        <f t="shared" si="1"/>
        <v>17.223333333333333</v>
      </c>
      <c r="H6" s="27">
        <f t="shared" si="2"/>
        <v>0.4101625693957624</v>
      </c>
      <c r="I6" s="21"/>
      <c r="J6" s="21"/>
      <c r="K6" s="21"/>
      <c r="L6" s="21"/>
      <c r="M6" s="21"/>
      <c r="N6" s="21"/>
      <c r="O6" s="21"/>
      <c r="P6" s="21"/>
      <c r="X6" t="s">
        <v>39</v>
      </c>
      <c r="Y6" t="s">
        <v>37</v>
      </c>
      <c r="Z6">
        <v>1</v>
      </c>
      <c r="AA6">
        <f>C5</f>
        <v>18.97</v>
      </c>
    </row>
    <row r="7" spans="2:27" ht="15.75" x14ac:dyDescent="0.25">
      <c r="B7" s="8" t="s">
        <v>81</v>
      </c>
      <c r="C7" s="4">
        <v>16.22</v>
      </c>
      <c r="D7" s="4">
        <v>16.11</v>
      </c>
      <c r="E7" s="4">
        <v>16.97</v>
      </c>
      <c r="F7" s="4">
        <f t="shared" si="0"/>
        <v>49.3</v>
      </c>
      <c r="G7" s="26">
        <f t="shared" si="1"/>
        <v>16.433333333333334</v>
      </c>
      <c r="H7" s="27">
        <f t="shared" si="2"/>
        <v>0.4680099714037439</v>
      </c>
      <c r="I7" s="21" t="s">
        <v>14</v>
      </c>
      <c r="J7" s="28">
        <f>(F13^2)/(J3*J4*J5)</f>
        <v>7731.4248925925922</v>
      </c>
      <c r="K7" s="21"/>
      <c r="L7" s="21"/>
      <c r="M7" s="21"/>
      <c r="N7" s="21"/>
      <c r="O7" s="21"/>
      <c r="P7" s="21"/>
      <c r="X7" t="s">
        <v>39</v>
      </c>
      <c r="Y7" t="s">
        <v>37</v>
      </c>
      <c r="Z7">
        <v>2</v>
      </c>
      <c r="AA7">
        <f>D5</f>
        <v>17.420000000000002</v>
      </c>
    </row>
    <row r="8" spans="2:27" ht="15.75" x14ac:dyDescent="0.25">
      <c r="B8" s="8" t="s">
        <v>82</v>
      </c>
      <c r="C8" s="4">
        <v>19.53</v>
      </c>
      <c r="D8" s="4">
        <v>18</v>
      </c>
      <c r="E8" s="4">
        <v>16.920000000000002</v>
      </c>
      <c r="F8" s="4">
        <f t="shared" si="0"/>
        <v>54.45</v>
      </c>
      <c r="G8" s="26">
        <f t="shared" si="1"/>
        <v>18.150000000000002</v>
      </c>
      <c r="H8" s="27">
        <f t="shared" si="2"/>
        <v>1.3114495796636634</v>
      </c>
      <c r="I8" s="21"/>
      <c r="J8" s="21"/>
      <c r="K8" s="21"/>
      <c r="L8" s="21"/>
      <c r="M8" s="21"/>
      <c r="N8" s="21"/>
      <c r="O8" s="21"/>
      <c r="P8" s="21"/>
      <c r="X8" t="s">
        <v>39</v>
      </c>
      <c r="Y8" t="s">
        <v>37</v>
      </c>
      <c r="Z8">
        <v>3</v>
      </c>
      <c r="AA8">
        <f>E5</f>
        <v>16.28</v>
      </c>
    </row>
    <row r="9" spans="2:27" ht="15.75" x14ac:dyDescent="0.25">
      <c r="B9" s="8" t="s">
        <v>83</v>
      </c>
      <c r="C9" s="8">
        <v>19.27</v>
      </c>
      <c r="D9" s="8">
        <v>17.190000000000001</v>
      </c>
      <c r="E9" s="8">
        <v>17.579999999999998</v>
      </c>
      <c r="F9" s="4">
        <f t="shared" si="0"/>
        <v>54.04</v>
      </c>
      <c r="G9" s="26">
        <f t="shared" si="1"/>
        <v>18.013333333333332</v>
      </c>
      <c r="H9" s="27">
        <f t="shared" si="2"/>
        <v>1.1056370712549992</v>
      </c>
      <c r="I9" s="21"/>
      <c r="J9" s="21"/>
      <c r="K9" s="21"/>
      <c r="L9" s="21"/>
      <c r="M9" s="21"/>
      <c r="N9" s="21"/>
      <c r="O9" s="21"/>
      <c r="P9" s="21"/>
      <c r="X9" t="s">
        <v>39</v>
      </c>
      <c r="Y9" t="s">
        <v>38</v>
      </c>
      <c r="Z9">
        <v>1</v>
      </c>
      <c r="AA9">
        <f>C6</f>
        <v>17.690000000000001</v>
      </c>
    </row>
    <row r="10" spans="2:27" ht="15.75" x14ac:dyDescent="0.25">
      <c r="B10" s="4" t="s">
        <v>84</v>
      </c>
      <c r="C10" s="4">
        <v>16.14</v>
      </c>
      <c r="D10" s="4">
        <v>15.47</v>
      </c>
      <c r="E10" s="4">
        <v>15.58</v>
      </c>
      <c r="F10" s="4">
        <f t="shared" si="0"/>
        <v>47.19</v>
      </c>
      <c r="G10" s="26">
        <f t="shared" si="1"/>
        <v>15.729999999999999</v>
      </c>
      <c r="H10" s="27">
        <f t="shared" si="2"/>
        <v>0.3593048844644337</v>
      </c>
      <c r="I10" s="21"/>
      <c r="J10" s="21"/>
      <c r="K10" s="21"/>
      <c r="L10" s="21"/>
      <c r="M10" s="21"/>
      <c r="N10" s="21"/>
      <c r="O10" s="21"/>
      <c r="P10" s="21"/>
      <c r="X10" t="s">
        <v>39</v>
      </c>
      <c r="Y10" t="s">
        <v>38</v>
      </c>
      <c r="Z10">
        <v>2</v>
      </c>
      <c r="AA10">
        <f>D6</f>
        <v>17.059999999999999</v>
      </c>
    </row>
    <row r="11" spans="2:27" ht="15.75" x14ac:dyDescent="0.25">
      <c r="B11" s="4" t="s">
        <v>85</v>
      </c>
      <c r="C11" s="4">
        <v>16.010000000000002</v>
      </c>
      <c r="D11" s="4">
        <v>17</v>
      </c>
      <c r="E11" s="4">
        <v>15.89</v>
      </c>
      <c r="F11" s="4">
        <f t="shared" si="0"/>
        <v>48.900000000000006</v>
      </c>
      <c r="G11" s="26">
        <f t="shared" si="1"/>
        <v>16.3</v>
      </c>
      <c r="H11" s="27">
        <f t="shared" si="2"/>
        <v>0.60917977642072074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X11" t="s">
        <v>39</v>
      </c>
      <c r="Y11" t="s">
        <v>38</v>
      </c>
      <c r="Z11">
        <v>3</v>
      </c>
      <c r="AA11">
        <f>E6</f>
        <v>16.920000000000002</v>
      </c>
    </row>
    <row r="12" spans="2:27" ht="15.75" x14ac:dyDescent="0.25">
      <c r="B12" s="4" t="s">
        <v>86</v>
      </c>
      <c r="C12" s="8">
        <v>16.8</v>
      </c>
      <c r="D12" s="4">
        <v>17.03</v>
      </c>
      <c r="E12" s="4">
        <v>15.06</v>
      </c>
      <c r="F12" s="4">
        <f t="shared" si="0"/>
        <v>48.89</v>
      </c>
      <c r="G12" s="26">
        <f t="shared" si="1"/>
        <v>16.296666666666667</v>
      </c>
      <c r="H12" s="27">
        <f t="shared" si="2"/>
        <v>1.077141278260811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X12" t="s">
        <v>40</v>
      </c>
      <c r="Y12" t="s">
        <v>36</v>
      </c>
      <c r="Z12">
        <v>1</v>
      </c>
      <c r="AA12">
        <f>C7</f>
        <v>16.22</v>
      </c>
    </row>
    <row r="13" spans="2:27" ht="15.75" x14ac:dyDescent="0.25">
      <c r="B13" s="2" t="s">
        <v>2</v>
      </c>
      <c r="C13" s="4">
        <f>SUM(C4:C12)</f>
        <v>158.71</v>
      </c>
      <c r="D13" s="4">
        <f>SUM(D4:D12)</f>
        <v>151.31</v>
      </c>
      <c r="E13" s="4">
        <f>SUM(E4:E12)</f>
        <v>146.87</v>
      </c>
      <c r="F13" s="10">
        <f>SUM(F4:F12)</f>
        <v>456.89</v>
      </c>
      <c r="G13" s="29"/>
      <c r="H13" s="21"/>
      <c r="I13" s="21" t="s">
        <v>27</v>
      </c>
      <c r="J13" s="21">
        <f>(J5-1)</f>
        <v>2</v>
      </c>
      <c r="K13" s="30">
        <f>SUMSQ(C13:E13)/(J3*J4)-J7</f>
        <v>7.9503407407428313</v>
      </c>
      <c r="L13" s="30">
        <f t="shared" ref="L13:L18" si="3">K13/J13</f>
        <v>3.9751703703714156</v>
      </c>
      <c r="M13" s="31">
        <f>L13/L18</f>
        <v>7.0233783570477879</v>
      </c>
      <c r="N13" s="31">
        <f>FINV(N12,J13,J18)</f>
        <v>3.6337234675916301</v>
      </c>
      <c r="O13" s="31">
        <f>FINV(O12,J13,J18)</f>
        <v>6.2262352803113821</v>
      </c>
      <c r="P13" s="21" t="str">
        <f>IF(M13&lt;N13,"tn",IF(M13&lt;O13,"*","**"))</f>
        <v>**</v>
      </c>
      <c r="R13" t="s">
        <v>25</v>
      </c>
      <c r="S13" t="s">
        <v>28</v>
      </c>
      <c r="T13" t="s">
        <v>29</v>
      </c>
      <c r="X13" t="s">
        <v>40</v>
      </c>
      <c r="Y13" t="s">
        <v>36</v>
      </c>
      <c r="Z13">
        <v>2</v>
      </c>
      <c r="AA13">
        <f>D7</f>
        <v>16.11</v>
      </c>
    </row>
    <row r="14" spans="2:27" ht="15.75" x14ac:dyDescent="0.25">
      <c r="B14" s="21"/>
      <c r="C14" s="21"/>
      <c r="D14" s="21"/>
      <c r="E14" s="21"/>
      <c r="F14" s="21"/>
      <c r="G14" s="21"/>
      <c r="H14" s="21"/>
      <c r="I14" s="21" t="s">
        <v>0</v>
      </c>
      <c r="J14" s="21">
        <f>(J3*J4-1)</f>
        <v>8</v>
      </c>
      <c r="K14" s="30">
        <f>SUMSQ(F4:F12)/J5-J7</f>
        <v>17.214607407408039</v>
      </c>
      <c r="L14" s="30">
        <f t="shared" si="3"/>
        <v>2.1518259259260049</v>
      </c>
      <c r="M14" s="31">
        <f>L14/L18</f>
        <v>3.8018716754700868</v>
      </c>
      <c r="N14" s="31">
        <f>FINV(N12,J14,J18)</f>
        <v>2.5910961798744014</v>
      </c>
      <c r="O14" s="31">
        <f>FINV(O12,J14,J18)</f>
        <v>3.8895721399261927</v>
      </c>
      <c r="P14" s="21" t="str">
        <f>IF(M14&lt;N14,"tn",IF(M14&lt;O14,"*","**"))</f>
        <v>*</v>
      </c>
      <c r="S14" t="s">
        <v>30</v>
      </c>
      <c r="T14" t="s">
        <v>31</v>
      </c>
      <c r="X14" t="s">
        <v>40</v>
      </c>
      <c r="Y14" t="s">
        <v>36</v>
      </c>
      <c r="Z14">
        <v>3</v>
      </c>
      <c r="AA14">
        <f>E7</f>
        <v>16.97</v>
      </c>
    </row>
    <row r="15" spans="2:27" ht="15.75" x14ac:dyDescent="0.25">
      <c r="B15" s="21"/>
      <c r="C15" s="21"/>
      <c r="D15" s="21"/>
      <c r="E15" s="21"/>
      <c r="F15" s="21"/>
      <c r="G15" s="21"/>
      <c r="H15" s="21"/>
      <c r="I15" s="24" t="s">
        <v>7</v>
      </c>
      <c r="J15" s="21">
        <f>(J3-1)</f>
        <v>2</v>
      </c>
      <c r="K15" s="30">
        <f>SUMSQ(F20:F22)/(J3*J5)-J7</f>
        <v>9.6705407407416715</v>
      </c>
      <c r="L15" s="30">
        <f t="shared" si="3"/>
        <v>4.8352703703708357</v>
      </c>
      <c r="M15" s="31">
        <f>L15/L18</f>
        <v>8.5430132813562807</v>
      </c>
      <c r="N15" s="31">
        <f>FINV(N12,J15,J18)</f>
        <v>3.6337234675916301</v>
      </c>
      <c r="O15" s="31">
        <f>FINV(O12,J15,J18)</f>
        <v>6.2262352803113821</v>
      </c>
      <c r="P15" s="21" t="str">
        <f>IF(M15&lt;N15,"tn",IF(M15&lt;O15,"*","**"))</f>
        <v>**</v>
      </c>
      <c r="S15" t="s">
        <v>32</v>
      </c>
      <c r="T15" t="s">
        <v>33</v>
      </c>
      <c r="X15" t="s">
        <v>40</v>
      </c>
      <c r="Y15" t="s">
        <v>37</v>
      </c>
      <c r="Z15">
        <v>1</v>
      </c>
      <c r="AA15">
        <f>C8</f>
        <v>19.53</v>
      </c>
    </row>
    <row r="16" spans="2:27" ht="15.75" x14ac:dyDescent="0.25">
      <c r="B16" s="21"/>
      <c r="C16" s="21"/>
      <c r="D16" s="21"/>
      <c r="E16" s="21"/>
      <c r="F16" s="21"/>
      <c r="G16" s="21"/>
      <c r="H16" s="21"/>
      <c r="I16" s="24" t="s">
        <v>9</v>
      </c>
      <c r="J16" s="21">
        <f>(J4-1)</f>
        <v>2</v>
      </c>
      <c r="K16" s="30">
        <f>SUMSQ(C23:E23)/(J4*J5)-J7</f>
        <v>6.165474074075064</v>
      </c>
      <c r="L16" s="30">
        <f t="shared" si="3"/>
        <v>3.082737037037532</v>
      </c>
      <c r="M16" s="31">
        <f>L16/L18</f>
        <v>5.4466165142944725</v>
      </c>
      <c r="N16" s="31">
        <f>FINV(N12,J16,J18)</f>
        <v>3.6337234675916301</v>
      </c>
      <c r="O16" s="31">
        <f>FINV(O12,J16,J18)</f>
        <v>6.2262352803113821</v>
      </c>
      <c r="P16" s="21" t="str">
        <f>IF(M16&lt;N16,"tn",IF(M16&lt;O16,"*","**"))</f>
        <v>*</v>
      </c>
      <c r="X16" t="s">
        <v>40</v>
      </c>
      <c r="Y16" t="s">
        <v>37</v>
      </c>
      <c r="Z16">
        <v>2</v>
      </c>
      <c r="AA16">
        <f>D8</f>
        <v>18</v>
      </c>
    </row>
    <row r="17" spans="2:27" ht="15.75" x14ac:dyDescent="0.25">
      <c r="B17" s="21"/>
      <c r="C17" s="21"/>
      <c r="D17" s="21" t="s">
        <v>34</v>
      </c>
      <c r="E17" s="21"/>
      <c r="F17" s="21"/>
      <c r="G17" s="21"/>
      <c r="H17" s="21"/>
      <c r="I17" s="24" t="s">
        <v>44</v>
      </c>
      <c r="J17" s="21">
        <f>(J3-1)*(J4-1)</f>
        <v>4</v>
      </c>
      <c r="K17" s="30">
        <f>K14-K15-K16</f>
        <v>1.3785925925913034</v>
      </c>
      <c r="L17" s="30">
        <f t="shared" si="3"/>
        <v>0.34464814814782585</v>
      </c>
      <c r="M17" s="31">
        <f>L17/L18</f>
        <v>0.60892845311479671</v>
      </c>
      <c r="N17" s="31">
        <f>FINV(N12,J17,J18)</f>
        <v>3.0069172799243447</v>
      </c>
      <c r="O17" s="31">
        <f>FINV(O12,J17,J18)</f>
        <v>4.772577999723211</v>
      </c>
      <c r="P17" s="21" t="str">
        <f>IF(M17&lt;N17,"tn",IF(M17&lt;O17,"*","**"))</f>
        <v>tn</v>
      </c>
      <c r="X17" t="s">
        <v>40</v>
      </c>
      <c r="Y17" t="s">
        <v>37</v>
      </c>
      <c r="Z17">
        <v>3</v>
      </c>
      <c r="AA17">
        <f>E8</f>
        <v>16.920000000000002</v>
      </c>
    </row>
    <row r="18" spans="2:27" ht="15.75" x14ac:dyDescent="0.25">
      <c r="B18" s="68" t="s">
        <v>7</v>
      </c>
      <c r="C18" s="70" t="s">
        <v>9</v>
      </c>
      <c r="D18" s="71"/>
      <c r="E18" s="72"/>
      <c r="F18" s="73" t="s">
        <v>2</v>
      </c>
      <c r="G18" s="73" t="s">
        <v>3</v>
      </c>
      <c r="H18" s="21"/>
      <c r="I18" s="21" t="s">
        <v>35</v>
      </c>
      <c r="J18" s="21">
        <f>(J3*J4-1)*(J5-1)</f>
        <v>16</v>
      </c>
      <c r="K18" s="30">
        <f>K19-K13-K14</f>
        <v>9.0558592592578862</v>
      </c>
      <c r="L18" s="30">
        <f t="shared" si="3"/>
        <v>0.56599120370361788</v>
      </c>
      <c r="M18" s="32"/>
      <c r="N18" s="32"/>
      <c r="O18" s="32"/>
      <c r="P18" s="32"/>
      <c r="X18" t="s">
        <v>40</v>
      </c>
      <c r="Y18" t="s">
        <v>38</v>
      </c>
      <c r="Z18">
        <v>1</v>
      </c>
      <c r="AA18">
        <f>C9</f>
        <v>19.27</v>
      </c>
    </row>
    <row r="19" spans="2:27" ht="15.75" x14ac:dyDescent="0.25">
      <c r="B19" s="69"/>
      <c r="C19" s="4" t="s">
        <v>36</v>
      </c>
      <c r="D19" s="4" t="s">
        <v>37</v>
      </c>
      <c r="E19" s="4" t="s">
        <v>38</v>
      </c>
      <c r="F19" s="74"/>
      <c r="G19" s="74"/>
      <c r="H19" s="21"/>
      <c r="I19" s="33" t="s">
        <v>2</v>
      </c>
      <c r="J19" s="33">
        <f>(J3*J4*J5-1)</f>
        <v>26</v>
      </c>
      <c r="K19" s="34">
        <f>SUMSQ(C4:E12)-J7</f>
        <v>34.220807407408756</v>
      </c>
      <c r="L19" s="35"/>
      <c r="M19" s="35"/>
      <c r="N19" s="35"/>
      <c r="O19" s="35"/>
      <c r="P19" s="35"/>
      <c r="X19" t="s">
        <v>40</v>
      </c>
      <c r="Y19" t="s">
        <v>38</v>
      </c>
      <c r="Z19">
        <v>2</v>
      </c>
      <c r="AA19">
        <f>D9</f>
        <v>17.190000000000001</v>
      </c>
    </row>
    <row r="20" spans="2:27" ht="15.75" x14ac:dyDescent="0.25">
      <c r="B20" s="4" t="s">
        <v>39</v>
      </c>
      <c r="C20" s="4">
        <f>F4</f>
        <v>49.78</v>
      </c>
      <c r="D20" s="4">
        <f>F5</f>
        <v>52.67</v>
      </c>
      <c r="E20" s="4">
        <f>F6</f>
        <v>51.67</v>
      </c>
      <c r="F20" s="8">
        <f>SUM(C20:E20)</f>
        <v>154.12</v>
      </c>
      <c r="G20" s="18">
        <f>F20/9</f>
        <v>17.124444444444446</v>
      </c>
      <c r="H20" s="21"/>
      <c r="I20" s="21"/>
      <c r="J20" s="21"/>
      <c r="K20" s="21"/>
      <c r="L20" s="21"/>
      <c r="M20" s="21"/>
      <c r="N20" s="21"/>
      <c r="O20" s="21"/>
      <c r="P20" s="21"/>
      <c r="X20" t="s">
        <v>40</v>
      </c>
      <c r="Y20" t="s">
        <v>38</v>
      </c>
      <c r="Z20">
        <v>3</v>
      </c>
      <c r="AA20">
        <f>E9</f>
        <v>17.579999999999998</v>
      </c>
    </row>
    <row r="21" spans="2:27" ht="15.75" x14ac:dyDescent="0.25">
      <c r="B21" s="4" t="s">
        <v>40</v>
      </c>
      <c r="C21" s="4">
        <f>F7</f>
        <v>49.3</v>
      </c>
      <c r="D21" s="4">
        <f>F8</f>
        <v>54.45</v>
      </c>
      <c r="E21" s="4">
        <f>F9</f>
        <v>54.04</v>
      </c>
      <c r="F21" s="8">
        <f>SUM(C21:E21)</f>
        <v>157.79</v>
      </c>
      <c r="G21" s="18">
        <f>F21/9</f>
        <v>17.53222222222222</v>
      </c>
      <c r="H21" s="21"/>
      <c r="I21" s="21" t="s">
        <v>42</v>
      </c>
      <c r="J21" s="21">
        <v>3.65</v>
      </c>
      <c r="K21" s="21"/>
      <c r="L21" s="21"/>
      <c r="M21" s="21"/>
      <c r="N21" s="21"/>
      <c r="O21" s="21"/>
      <c r="P21" s="21"/>
      <c r="X21" t="s">
        <v>41</v>
      </c>
      <c r="Y21" t="s">
        <v>36</v>
      </c>
      <c r="Z21">
        <v>1</v>
      </c>
      <c r="AA21">
        <f>C10</f>
        <v>16.14</v>
      </c>
    </row>
    <row r="22" spans="2:27" ht="15.75" x14ac:dyDescent="0.25">
      <c r="B22" s="4" t="s">
        <v>41</v>
      </c>
      <c r="C22" s="4">
        <f>F10</f>
        <v>47.19</v>
      </c>
      <c r="D22" s="4">
        <f>F11</f>
        <v>48.900000000000006</v>
      </c>
      <c r="E22" s="4">
        <f>F12</f>
        <v>48.89</v>
      </c>
      <c r="F22" s="8">
        <f>SUM(C22:E22)</f>
        <v>144.98000000000002</v>
      </c>
      <c r="G22" s="18">
        <f>F22/9</f>
        <v>16.108888888888892</v>
      </c>
      <c r="H22" s="21"/>
      <c r="I22" s="21" t="s">
        <v>43</v>
      </c>
      <c r="J22" s="27">
        <f>3.65*(SQRT(L18/J5*3))</f>
        <v>2.7459821214533515</v>
      </c>
      <c r="K22" s="21"/>
      <c r="L22" s="21"/>
      <c r="M22" s="21"/>
      <c r="N22" s="21"/>
      <c r="O22" s="21"/>
      <c r="P22" s="21"/>
      <c r="X22" t="s">
        <v>41</v>
      </c>
      <c r="Y22" t="s">
        <v>36</v>
      </c>
      <c r="Z22">
        <v>2</v>
      </c>
      <c r="AA22">
        <f>D10</f>
        <v>15.47</v>
      </c>
    </row>
    <row r="23" spans="2:27" ht="15.75" x14ac:dyDescent="0.25">
      <c r="B23" s="19" t="s">
        <v>2</v>
      </c>
      <c r="C23" s="8">
        <f>SUM(C20:C22)</f>
        <v>146.26999999999998</v>
      </c>
      <c r="D23" s="8">
        <f>SUM(D20:D22)</f>
        <v>156.02000000000001</v>
      </c>
      <c r="E23" s="8">
        <f>SUM(E20:E22)</f>
        <v>154.60000000000002</v>
      </c>
      <c r="F23" s="10">
        <f>SUM(F20:F22)</f>
        <v>456.89</v>
      </c>
      <c r="G23" s="4"/>
      <c r="H23" s="21"/>
      <c r="I23" s="21"/>
      <c r="J23" s="21"/>
      <c r="K23" s="21"/>
      <c r="L23" s="21"/>
      <c r="M23" s="21"/>
      <c r="N23" s="21"/>
      <c r="O23" s="21"/>
      <c r="P23" s="21"/>
      <c r="X23" t="s">
        <v>41</v>
      </c>
      <c r="Y23" t="s">
        <v>36</v>
      </c>
      <c r="Z23">
        <v>3</v>
      </c>
      <c r="AA23">
        <f>E10</f>
        <v>15.58</v>
      </c>
    </row>
    <row r="24" spans="2:27" ht="15.75" x14ac:dyDescent="0.25">
      <c r="B24" s="19" t="s">
        <v>3</v>
      </c>
      <c r="C24" s="18">
        <f>C23/9</f>
        <v>16.252222222222219</v>
      </c>
      <c r="D24" s="18">
        <f>D23/9</f>
        <v>17.335555555555558</v>
      </c>
      <c r="E24" s="18">
        <f>E23/9</f>
        <v>17.177777777777781</v>
      </c>
      <c r="F24" s="21"/>
      <c r="G24" s="21"/>
      <c r="H24" s="21"/>
      <c r="I24" s="22">
        <f>SQRT(L18/J5*3)</f>
        <v>0.75232386889132918</v>
      </c>
      <c r="J24" s="22">
        <f>I24*J21</f>
        <v>2.7459821214533515</v>
      </c>
      <c r="K24" s="22"/>
      <c r="L24" s="21"/>
      <c r="M24" s="21"/>
      <c r="N24" s="21"/>
      <c r="O24" s="21"/>
      <c r="P24" s="21"/>
      <c r="X24" t="s">
        <v>41</v>
      </c>
      <c r="Y24" t="s">
        <v>37</v>
      </c>
      <c r="Z24">
        <v>1</v>
      </c>
      <c r="AA24">
        <f>C11</f>
        <v>16.010000000000002</v>
      </c>
    </row>
    <row r="25" spans="2:27" ht="15.75" x14ac:dyDescent="0.25">
      <c r="B25" s="21"/>
      <c r="C25" s="21"/>
      <c r="D25" s="21"/>
      <c r="E25" s="21"/>
      <c r="F25" s="21"/>
      <c r="G25" s="21"/>
      <c r="H25" s="21"/>
      <c r="I25" s="50"/>
      <c r="J25" s="22"/>
      <c r="K25" s="23"/>
      <c r="L25" s="21"/>
      <c r="M25" s="21"/>
      <c r="N25" s="21"/>
      <c r="O25" s="21"/>
      <c r="P25" s="21"/>
      <c r="X25" t="s">
        <v>41</v>
      </c>
      <c r="Y25" t="s">
        <v>37</v>
      </c>
      <c r="Z25">
        <v>2</v>
      </c>
      <c r="AA25">
        <f>D11</f>
        <v>17</v>
      </c>
    </row>
    <row r="26" spans="2:27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X26" t="s">
        <v>41</v>
      </c>
      <c r="Y26" t="s">
        <v>37</v>
      </c>
      <c r="Z26">
        <v>3</v>
      </c>
      <c r="AA26">
        <f>E11</f>
        <v>15.89</v>
      </c>
    </row>
    <row r="27" spans="2:27" ht="15.75" x14ac:dyDescent="0.25">
      <c r="C27" t="s">
        <v>0</v>
      </c>
      <c r="D27" t="s">
        <v>49</v>
      </c>
      <c r="F27" t="s">
        <v>96</v>
      </c>
      <c r="H27" t="s">
        <v>94</v>
      </c>
      <c r="U27" s="21"/>
      <c r="X27" t="s">
        <v>41</v>
      </c>
      <c r="Y27" t="s">
        <v>38</v>
      </c>
      <c r="Z27">
        <v>1</v>
      </c>
      <c r="AA27">
        <f>C12</f>
        <v>16.8</v>
      </c>
    </row>
    <row r="28" spans="2:27" ht="15.75" x14ac:dyDescent="0.25">
      <c r="B28" s="21"/>
      <c r="C28" s="53" t="s">
        <v>39</v>
      </c>
      <c r="D28" s="54">
        <f>G20</f>
        <v>17.124444444444446</v>
      </c>
      <c r="E28" s="21"/>
      <c r="F28" s="21" t="s">
        <v>41</v>
      </c>
      <c r="G28" s="27">
        <f>D30</f>
        <v>16.108888888888892</v>
      </c>
      <c r="H28" s="27">
        <f>G28+J22</f>
        <v>18.854871010342244</v>
      </c>
      <c r="I28" s="21" t="s">
        <v>59</v>
      </c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X28" t="s">
        <v>41</v>
      </c>
      <c r="Y28" t="s">
        <v>38</v>
      </c>
      <c r="Z28">
        <v>2</v>
      </c>
      <c r="AA28">
        <f>D12</f>
        <v>17.03</v>
      </c>
    </row>
    <row r="29" spans="2:27" x14ac:dyDescent="0.25">
      <c r="C29" t="s">
        <v>40</v>
      </c>
      <c r="D29" s="41">
        <f>G21</f>
        <v>17.53222222222222</v>
      </c>
      <c r="F29" t="s">
        <v>39</v>
      </c>
      <c r="G29" s="41">
        <f>G20</f>
        <v>17.124444444444446</v>
      </c>
      <c r="I29" t="s">
        <v>59</v>
      </c>
      <c r="X29" t="s">
        <v>41</v>
      </c>
      <c r="Y29" t="s">
        <v>38</v>
      </c>
      <c r="Z29">
        <v>3</v>
      </c>
      <c r="AA29">
        <f>E12</f>
        <v>15.06</v>
      </c>
    </row>
    <row r="30" spans="2:27" x14ac:dyDescent="0.25">
      <c r="C30" t="s">
        <v>41</v>
      </c>
      <c r="D30" s="41">
        <f>G22</f>
        <v>16.108888888888892</v>
      </c>
      <c r="F30" t="s">
        <v>40</v>
      </c>
      <c r="G30" s="41">
        <f>D29</f>
        <v>17.53222222222222</v>
      </c>
      <c r="H30" s="41"/>
      <c r="I30" t="s">
        <v>59</v>
      </c>
    </row>
    <row r="35" spans="3:10" x14ac:dyDescent="0.25">
      <c r="C35" t="s">
        <v>0</v>
      </c>
      <c r="D35" t="s">
        <v>49</v>
      </c>
      <c r="F35" t="s">
        <v>96</v>
      </c>
      <c r="H35" t="s">
        <v>94</v>
      </c>
      <c r="I35" t="s">
        <v>95</v>
      </c>
    </row>
    <row r="36" spans="3:10" x14ac:dyDescent="0.25">
      <c r="C36" t="s">
        <v>36</v>
      </c>
      <c r="D36" s="41">
        <f>C24</f>
        <v>16.252222222222219</v>
      </c>
      <c r="F36" t="s">
        <v>36</v>
      </c>
      <c r="G36" s="41">
        <f>D36</f>
        <v>16.252222222222219</v>
      </c>
      <c r="H36" s="41">
        <f>G36+J22</f>
        <v>18.998204343675571</v>
      </c>
      <c r="I36" t="s">
        <v>59</v>
      </c>
      <c r="J36" s="41">
        <f>G38</f>
        <v>17.335555555555558</v>
      </c>
    </row>
    <row r="37" spans="3:10" x14ac:dyDescent="0.25">
      <c r="C37" t="s">
        <v>37</v>
      </c>
      <c r="D37" s="41">
        <f>D24</f>
        <v>17.335555555555558</v>
      </c>
      <c r="F37" t="s">
        <v>38</v>
      </c>
      <c r="G37" s="41">
        <f>D38</f>
        <v>17.177777777777781</v>
      </c>
      <c r="I37" t="s">
        <v>59</v>
      </c>
      <c r="J37" s="41">
        <f>G37</f>
        <v>17.177777777777781</v>
      </c>
    </row>
    <row r="38" spans="3:10" x14ac:dyDescent="0.25">
      <c r="C38" t="s">
        <v>100</v>
      </c>
      <c r="D38" s="41">
        <f>E24</f>
        <v>17.177777777777781</v>
      </c>
      <c r="F38" t="s">
        <v>37</v>
      </c>
      <c r="G38" s="41">
        <f>D37</f>
        <v>17.335555555555558</v>
      </c>
      <c r="I38" t="s">
        <v>59</v>
      </c>
      <c r="J38" s="41">
        <f>G36</f>
        <v>16.252222222222219</v>
      </c>
    </row>
    <row r="43" spans="3:10" x14ac:dyDescent="0.25">
      <c r="C43" t="s">
        <v>0</v>
      </c>
      <c r="D43" t="s">
        <v>49</v>
      </c>
      <c r="F43" t="s">
        <v>96</v>
      </c>
      <c r="H43" t="s">
        <v>94</v>
      </c>
    </row>
    <row r="44" spans="3:10" x14ac:dyDescent="0.25">
      <c r="C44" t="s">
        <v>8</v>
      </c>
      <c r="D44" s="41">
        <f t="shared" ref="D44:D52" si="4">G4</f>
        <v>16.593333333333334</v>
      </c>
      <c r="F44" t="s">
        <v>17</v>
      </c>
      <c r="G44" s="41">
        <f>D50</f>
        <v>15.729999999999999</v>
      </c>
      <c r="H44" s="41">
        <f>G44+J22</f>
        <v>18.475982121453349</v>
      </c>
      <c r="I44" t="s">
        <v>59</v>
      </c>
    </row>
    <row r="45" spans="3:10" x14ac:dyDescent="0.25">
      <c r="C45" t="s">
        <v>10</v>
      </c>
      <c r="D45" s="41">
        <f t="shared" si="4"/>
        <v>17.556666666666668</v>
      </c>
      <c r="F45" t="s">
        <v>18</v>
      </c>
      <c r="G45" s="41">
        <f>D51</f>
        <v>16.3</v>
      </c>
      <c r="I45" t="s">
        <v>59</v>
      </c>
    </row>
    <row r="46" spans="3:10" x14ac:dyDescent="0.25">
      <c r="C46" t="s">
        <v>12</v>
      </c>
      <c r="D46" s="41">
        <f t="shared" si="4"/>
        <v>17.223333333333333</v>
      </c>
      <c r="F46" t="s">
        <v>26</v>
      </c>
      <c r="G46" s="41">
        <f>D52</f>
        <v>16.296666666666667</v>
      </c>
      <c r="I46" t="s">
        <v>59</v>
      </c>
    </row>
    <row r="47" spans="3:10" x14ac:dyDescent="0.25">
      <c r="C47" t="s">
        <v>13</v>
      </c>
      <c r="D47" s="41">
        <f t="shared" si="4"/>
        <v>16.433333333333334</v>
      </c>
      <c r="F47" t="s">
        <v>13</v>
      </c>
      <c r="G47" s="41">
        <f>D47</f>
        <v>16.433333333333334</v>
      </c>
      <c r="I47" t="s">
        <v>59</v>
      </c>
    </row>
    <row r="48" spans="3:10" x14ac:dyDescent="0.25">
      <c r="C48" t="s">
        <v>15</v>
      </c>
      <c r="D48" s="41">
        <f t="shared" si="4"/>
        <v>18.150000000000002</v>
      </c>
      <c r="F48" t="s">
        <v>8</v>
      </c>
      <c r="G48" s="41">
        <f>D44</f>
        <v>16.593333333333334</v>
      </c>
      <c r="I48" t="s">
        <v>59</v>
      </c>
    </row>
    <row r="49" spans="3:9" x14ac:dyDescent="0.25">
      <c r="C49" t="s">
        <v>16</v>
      </c>
      <c r="D49" s="41">
        <f t="shared" si="4"/>
        <v>18.013333333333332</v>
      </c>
      <c r="F49" t="s">
        <v>12</v>
      </c>
      <c r="G49" s="41">
        <f>D46</f>
        <v>17.223333333333333</v>
      </c>
      <c r="I49" t="s">
        <v>59</v>
      </c>
    </row>
    <row r="50" spans="3:9" x14ac:dyDescent="0.25">
      <c r="C50" t="s">
        <v>17</v>
      </c>
      <c r="D50" s="41">
        <f t="shared" si="4"/>
        <v>15.729999999999999</v>
      </c>
      <c r="F50" t="s">
        <v>10</v>
      </c>
      <c r="G50" s="41">
        <f>D45</f>
        <v>17.556666666666668</v>
      </c>
      <c r="I50" t="s">
        <v>59</v>
      </c>
    </row>
    <row r="51" spans="3:9" x14ac:dyDescent="0.25">
      <c r="C51" t="s">
        <v>18</v>
      </c>
      <c r="D51" s="41">
        <f t="shared" si="4"/>
        <v>16.3</v>
      </c>
      <c r="F51" t="s">
        <v>16</v>
      </c>
      <c r="G51" s="41">
        <f>D49</f>
        <v>18.013333333333332</v>
      </c>
      <c r="I51" t="s">
        <v>59</v>
      </c>
    </row>
    <row r="52" spans="3:9" x14ac:dyDescent="0.25">
      <c r="C52" t="s">
        <v>26</v>
      </c>
      <c r="D52" s="41">
        <f t="shared" si="4"/>
        <v>16.296666666666667</v>
      </c>
      <c r="F52" t="s">
        <v>15</v>
      </c>
      <c r="G52" s="41">
        <f>D48</f>
        <v>18.150000000000002</v>
      </c>
      <c r="I52" t="s">
        <v>59</v>
      </c>
    </row>
  </sheetData>
  <mergeCells count="15">
    <mergeCell ref="M11:M12"/>
    <mergeCell ref="N11:O11"/>
    <mergeCell ref="P11:P12"/>
    <mergeCell ref="B2:B3"/>
    <mergeCell ref="C2:E2"/>
    <mergeCell ref="F2:F3"/>
    <mergeCell ref="G2:G3"/>
    <mergeCell ref="K11:K12"/>
    <mergeCell ref="I11:I12"/>
    <mergeCell ref="J11:J12"/>
    <mergeCell ref="B18:B19"/>
    <mergeCell ref="C18:E18"/>
    <mergeCell ref="F18:F19"/>
    <mergeCell ref="G18:G19"/>
    <mergeCell ref="L11:L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56C8-6095-4322-B28E-74541C08AC60}">
  <dimension ref="A2:Q74"/>
  <sheetViews>
    <sheetView tabSelected="1" topLeftCell="A53" workbookViewId="0">
      <selection activeCell="T12" sqref="T12"/>
    </sheetView>
  </sheetViews>
  <sheetFormatPr defaultRowHeight="15" x14ac:dyDescent="0.25"/>
  <sheetData>
    <row r="2" spans="1:9" ht="15.75" x14ac:dyDescent="0.25">
      <c r="A2" s="77" t="s">
        <v>0</v>
      </c>
      <c r="B2" s="77" t="s">
        <v>1</v>
      </c>
      <c r="C2" s="77"/>
      <c r="D2" s="77"/>
      <c r="E2" s="101" t="s">
        <v>2</v>
      </c>
      <c r="F2" s="101" t="s">
        <v>49</v>
      </c>
      <c r="H2" t="s">
        <v>7</v>
      </c>
      <c r="I2">
        <v>3</v>
      </c>
    </row>
    <row r="3" spans="1:9" ht="15.75" x14ac:dyDescent="0.25">
      <c r="A3" s="77"/>
      <c r="B3" s="2" t="s">
        <v>4</v>
      </c>
      <c r="C3" s="2" t="s">
        <v>5</v>
      </c>
      <c r="D3" s="2" t="s">
        <v>6</v>
      </c>
      <c r="E3" s="101"/>
      <c r="F3" s="101"/>
      <c r="H3" t="s">
        <v>9</v>
      </c>
      <c r="I3">
        <v>3</v>
      </c>
    </row>
    <row r="4" spans="1:9" ht="15.75" x14ac:dyDescent="0.25">
      <c r="A4" s="4" t="s">
        <v>79</v>
      </c>
      <c r="B4" s="4">
        <v>18.079999999999998</v>
      </c>
      <c r="C4" s="4">
        <v>16.03</v>
      </c>
      <c r="D4" s="4">
        <v>15.67</v>
      </c>
      <c r="E4" s="102">
        <f>SUM(B4:D4)</f>
        <v>49.78</v>
      </c>
      <c r="F4" s="102">
        <f>AVERAGE(B4:D4)</f>
        <v>16.593333333333334</v>
      </c>
      <c r="H4" t="s">
        <v>11</v>
      </c>
      <c r="I4">
        <v>3</v>
      </c>
    </row>
    <row r="5" spans="1:9" ht="15.75" x14ac:dyDescent="0.25">
      <c r="A5" s="8" t="s">
        <v>80</v>
      </c>
      <c r="B5" s="4">
        <v>18.97</v>
      </c>
      <c r="C5" s="4">
        <v>17.420000000000002</v>
      </c>
      <c r="D5" s="4">
        <v>16.28</v>
      </c>
      <c r="E5" s="102">
        <f t="shared" ref="E5:E12" si="0">SUM(B5:D5)</f>
        <v>52.67</v>
      </c>
      <c r="F5" s="102">
        <f t="shared" ref="F5:F12" si="1">AVERAGE(B5:D5)</f>
        <v>17.556666666666668</v>
      </c>
    </row>
    <row r="6" spans="1:9" ht="15.75" x14ac:dyDescent="0.25">
      <c r="A6" s="8" t="s">
        <v>87</v>
      </c>
      <c r="B6" s="4">
        <v>17.690000000000001</v>
      </c>
      <c r="C6" s="4">
        <v>17.059999999999999</v>
      </c>
      <c r="D6" s="4">
        <v>16.920000000000002</v>
      </c>
      <c r="E6" s="102">
        <f t="shared" si="0"/>
        <v>51.67</v>
      </c>
      <c r="F6" s="102">
        <f t="shared" si="1"/>
        <v>17.223333333333333</v>
      </c>
    </row>
    <row r="7" spans="1:9" ht="15.75" x14ac:dyDescent="0.25">
      <c r="A7" s="8" t="s">
        <v>81</v>
      </c>
      <c r="B7" s="4">
        <v>16.22</v>
      </c>
      <c r="C7" s="4">
        <v>16.11</v>
      </c>
      <c r="D7" s="4">
        <v>16.97</v>
      </c>
      <c r="E7" s="102">
        <f t="shared" si="0"/>
        <v>49.3</v>
      </c>
      <c r="F7" s="102">
        <f t="shared" si="1"/>
        <v>16.433333333333334</v>
      </c>
    </row>
    <row r="8" spans="1:9" ht="15.75" x14ac:dyDescent="0.25">
      <c r="A8" s="8" t="s">
        <v>82</v>
      </c>
      <c r="B8" s="4">
        <v>19.53</v>
      </c>
      <c r="C8" s="4">
        <v>18</v>
      </c>
      <c r="D8" s="4">
        <v>16.920000000000002</v>
      </c>
      <c r="E8" s="102">
        <f t="shared" si="0"/>
        <v>54.45</v>
      </c>
      <c r="F8" s="102">
        <f t="shared" si="1"/>
        <v>18.150000000000002</v>
      </c>
    </row>
    <row r="9" spans="1:9" ht="15.75" x14ac:dyDescent="0.25">
      <c r="A9" s="8" t="s">
        <v>83</v>
      </c>
      <c r="B9" s="8">
        <v>19.27</v>
      </c>
      <c r="C9" s="8">
        <v>17.190000000000001</v>
      </c>
      <c r="D9" s="8">
        <v>17.579999999999998</v>
      </c>
      <c r="E9" s="102">
        <f t="shared" si="0"/>
        <v>54.04</v>
      </c>
      <c r="F9" s="102">
        <f t="shared" si="1"/>
        <v>18.013333333333332</v>
      </c>
    </row>
    <row r="10" spans="1:9" ht="15.75" x14ac:dyDescent="0.25">
      <c r="A10" s="4" t="s">
        <v>84</v>
      </c>
      <c r="B10" s="4">
        <v>16.14</v>
      </c>
      <c r="C10" s="4">
        <v>15.47</v>
      </c>
      <c r="D10" s="4">
        <v>15.58</v>
      </c>
      <c r="E10" s="102">
        <f t="shared" si="0"/>
        <v>47.19</v>
      </c>
      <c r="F10" s="102">
        <f t="shared" si="1"/>
        <v>15.729999999999999</v>
      </c>
    </row>
    <row r="11" spans="1:9" ht="15.75" x14ac:dyDescent="0.25">
      <c r="A11" s="4" t="s">
        <v>85</v>
      </c>
      <c r="B11" s="4">
        <v>16.010000000000002</v>
      </c>
      <c r="C11" s="4">
        <v>17</v>
      </c>
      <c r="D11" s="4">
        <v>15.89</v>
      </c>
      <c r="E11" s="102">
        <f t="shared" si="0"/>
        <v>48.900000000000006</v>
      </c>
      <c r="F11" s="102">
        <f t="shared" si="1"/>
        <v>16.3</v>
      </c>
    </row>
    <row r="12" spans="1:9" ht="15.75" x14ac:dyDescent="0.25">
      <c r="A12" s="4" t="s">
        <v>86</v>
      </c>
      <c r="B12" s="8">
        <v>16.8</v>
      </c>
      <c r="C12" s="4">
        <v>17.03</v>
      </c>
      <c r="D12" s="4">
        <v>15.06</v>
      </c>
      <c r="E12" s="102">
        <f t="shared" si="0"/>
        <v>48.89</v>
      </c>
      <c r="F12" s="102">
        <f t="shared" si="1"/>
        <v>16.296666666666667</v>
      </c>
    </row>
    <row r="13" spans="1:9" ht="15.75" x14ac:dyDescent="0.25">
      <c r="A13" s="4" t="s">
        <v>2</v>
      </c>
      <c r="B13" s="102">
        <f>SUM(B4:B12)</f>
        <v>158.71</v>
      </c>
      <c r="C13" s="102">
        <f t="shared" ref="C13:D13" si="2">SUM(C4:C12)</f>
        <v>151.31</v>
      </c>
      <c r="D13" s="102">
        <f t="shared" si="2"/>
        <v>146.87</v>
      </c>
      <c r="E13" s="103">
        <f>SUM(B13:D13)</f>
        <v>456.89</v>
      </c>
    </row>
    <row r="14" spans="1:9" ht="15.75" x14ac:dyDescent="0.25">
      <c r="A14" s="4" t="s">
        <v>49</v>
      </c>
      <c r="B14" s="102">
        <f>AVERAGE(B4:B12)</f>
        <v>17.634444444444444</v>
      </c>
      <c r="C14" s="102">
        <f t="shared" ref="C14:D14" si="3">AVERAGE(C4:C12)</f>
        <v>16.812222222222221</v>
      </c>
      <c r="D14" s="102">
        <f t="shared" si="3"/>
        <v>16.318888888888889</v>
      </c>
    </row>
    <row r="16" spans="1:9" ht="15.75" x14ac:dyDescent="0.25">
      <c r="A16" s="22" t="s">
        <v>14</v>
      </c>
      <c r="B16">
        <f>(E13^2)/(I2*I3*I4)</f>
        <v>7731.4248925925922</v>
      </c>
    </row>
    <row r="17" spans="1:6" x14ac:dyDescent="0.25">
      <c r="A17" s="55" t="s">
        <v>155</v>
      </c>
      <c r="B17">
        <f>(((B4^2)+(C4^2)+(D4^2)+(B5^2)+(C5^2)+(D5^2)+(B6^2)+(C6^2)+(D6^2)+(B7^2)+(C7^2)+(D7^2)+(B8^2)+(C8^2)+(D8^2)+(B9^2)+(C9^2)+(D9^2)+(B10^2)+(C10^2)+(D10^2)+(B11^2)+(C11^2)+(D11^2)+(B12^2)+(C12^2)+(D12^2))-B16)</f>
        <v>34.220807407408756</v>
      </c>
    </row>
    <row r="18" spans="1:6" x14ac:dyDescent="0.25">
      <c r="A18" s="55" t="s">
        <v>156</v>
      </c>
      <c r="B18">
        <f>(((B13^2)+(C13^2)+(D13^2))/(I2*I3)-B16)</f>
        <v>7.9503407407428313</v>
      </c>
    </row>
    <row r="19" spans="1:6" x14ac:dyDescent="0.25">
      <c r="A19" s="55" t="s">
        <v>157</v>
      </c>
      <c r="B19">
        <f>(((E4^2)+(E5^2)+(E6^2)+(E7^2)+(E8^2)+(E9^2)+(E10^2)+(E11^2)+(E12^2))/I4)-B16</f>
        <v>17.214607407408039</v>
      </c>
    </row>
    <row r="20" spans="1:6" x14ac:dyDescent="0.25">
      <c r="A20" s="55" t="s">
        <v>158</v>
      </c>
      <c r="B20">
        <f>B17-B18-B19</f>
        <v>9.0558592592578862</v>
      </c>
    </row>
    <row r="22" spans="1:6" x14ac:dyDescent="0.25">
      <c r="A22" s="55" t="s">
        <v>159</v>
      </c>
    </row>
    <row r="23" spans="1:6" x14ac:dyDescent="0.25">
      <c r="A23" s="104" t="s">
        <v>0</v>
      </c>
      <c r="B23" s="102" t="s">
        <v>36</v>
      </c>
      <c r="C23" s="102" t="s">
        <v>37</v>
      </c>
      <c r="D23" s="102" t="s">
        <v>38</v>
      </c>
      <c r="E23" s="102" t="s">
        <v>2</v>
      </c>
      <c r="F23" s="102" t="s">
        <v>49</v>
      </c>
    </row>
    <row r="24" spans="1:6" x14ac:dyDescent="0.25">
      <c r="A24" s="104" t="s">
        <v>39</v>
      </c>
      <c r="B24" s="102">
        <f>E4</f>
        <v>49.78</v>
      </c>
      <c r="C24" s="102">
        <f>E5</f>
        <v>52.67</v>
      </c>
      <c r="D24" s="102">
        <f>E6</f>
        <v>51.67</v>
      </c>
      <c r="E24" s="102">
        <f>SUM(B24:D24)</f>
        <v>154.12</v>
      </c>
      <c r="F24" s="102">
        <f>E24/9</f>
        <v>17.124444444444446</v>
      </c>
    </row>
    <row r="25" spans="1:6" x14ac:dyDescent="0.25">
      <c r="A25" s="104" t="s">
        <v>40</v>
      </c>
      <c r="B25" s="102">
        <f>E7</f>
        <v>49.3</v>
      </c>
      <c r="C25" s="102">
        <f>E8</f>
        <v>54.45</v>
      </c>
      <c r="D25" s="102">
        <f>E9</f>
        <v>54.04</v>
      </c>
      <c r="E25" s="102">
        <f t="shared" ref="E25:E26" si="4">SUM(B25:D25)</f>
        <v>157.79</v>
      </c>
      <c r="F25" s="102">
        <f t="shared" ref="F25:F26" si="5">E25/9</f>
        <v>17.53222222222222</v>
      </c>
    </row>
    <row r="26" spans="1:6" x14ac:dyDescent="0.25">
      <c r="A26" s="104" t="s">
        <v>41</v>
      </c>
      <c r="B26" s="102">
        <f>E10</f>
        <v>47.19</v>
      </c>
      <c r="C26" s="102">
        <f>E11</f>
        <v>48.900000000000006</v>
      </c>
      <c r="D26" s="102">
        <f>E12</f>
        <v>48.89</v>
      </c>
      <c r="E26" s="102">
        <f t="shared" si="4"/>
        <v>144.98000000000002</v>
      </c>
      <c r="F26" s="102">
        <f t="shared" si="5"/>
        <v>16.108888888888892</v>
      </c>
    </row>
    <row r="27" spans="1:6" x14ac:dyDescent="0.25">
      <c r="A27" s="104" t="s">
        <v>2</v>
      </c>
      <c r="B27" s="102">
        <f>SUM(B24:B26)</f>
        <v>146.26999999999998</v>
      </c>
      <c r="C27" s="102">
        <f t="shared" ref="C27:D27" si="6">SUM(C24:C26)</f>
        <v>156.02000000000001</v>
      </c>
      <c r="D27" s="102">
        <f t="shared" si="6"/>
        <v>154.60000000000002</v>
      </c>
      <c r="E27" s="102">
        <f>SUM(B27:D27)</f>
        <v>456.89</v>
      </c>
    </row>
    <row r="28" spans="1:6" x14ac:dyDescent="0.25">
      <c r="A28" s="104" t="s">
        <v>49</v>
      </c>
      <c r="B28" s="102">
        <f>B27/9</f>
        <v>16.252222222222219</v>
      </c>
      <c r="C28" s="102">
        <f t="shared" ref="C28:D28" si="7">C27/9</f>
        <v>17.335555555555558</v>
      </c>
      <c r="D28" s="102">
        <f t="shared" si="7"/>
        <v>17.177777777777781</v>
      </c>
    </row>
    <row r="30" spans="1:6" x14ac:dyDescent="0.25">
      <c r="A30" s="55" t="s">
        <v>160</v>
      </c>
      <c r="B30">
        <f>(((E24^2)+(E25^2)+(E26^2))/(I2*I3)-B16)</f>
        <v>9.6705407407416715</v>
      </c>
    </row>
    <row r="31" spans="1:6" x14ac:dyDescent="0.25">
      <c r="A31" s="55" t="s">
        <v>161</v>
      </c>
      <c r="B31">
        <f>(((B27^2)+(C27^2)+(D27^2))/(I2*I3)-B16)</f>
        <v>6.165474074075064</v>
      </c>
    </row>
    <row r="32" spans="1:6" x14ac:dyDescent="0.25">
      <c r="A32" s="55" t="s">
        <v>162</v>
      </c>
      <c r="B32">
        <f>B19-B30-B31</f>
        <v>1.3785925925913034</v>
      </c>
    </row>
    <row r="34" spans="1:17" x14ac:dyDescent="0.25">
      <c r="A34" s="105" t="s">
        <v>163</v>
      </c>
    </row>
    <row r="35" spans="1:17" x14ac:dyDescent="0.25">
      <c r="A35" s="106" t="s">
        <v>164</v>
      </c>
      <c r="B35" s="107" t="s">
        <v>165</v>
      </c>
      <c r="C35" s="107" t="s">
        <v>166</v>
      </c>
      <c r="D35" s="107" t="s">
        <v>167</v>
      </c>
      <c r="E35" s="107" t="s">
        <v>168</v>
      </c>
      <c r="F35" s="108" t="s">
        <v>169</v>
      </c>
      <c r="G35" s="108" t="s">
        <v>170</v>
      </c>
      <c r="H35" s="108" t="s">
        <v>95</v>
      </c>
    </row>
    <row r="36" spans="1:17" x14ac:dyDescent="0.25">
      <c r="A36" s="109"/>
      <c r="B36" s="107"/>
      <c r="C36" s="107"/>
      <c r="D36" s="107"/>
      <c r="E36" s="107"/>
      <c r="F36" s="108"/>
      <c r="G36" s="108"/>
      <c r="H36" s="108"/>
      <c r="J36" s="110" t="s">
        <v>171</v>
      </c>
    </row>
    <row r="37" spans="1:17" x14ac:dyDescent="0.25">
      <c r="A37" s="111" t="s">
        <v>172</v>
      </c>
      <c r="B37" s="102">
        <f>I4-1</f>
        <v>2</v>
      </c>
      <c r="C37" s="112">
        <f>B18</f>
        <v>7.9503407407428313</v>
      </c>
      <c r="D37" s="112">
        <f t="shared" ref="D37:D43" si="8">C37/B37</f>
        <v>3.9751703703714156</v>
      </c>
      <c r="E37" s="112">
        <f>D37/D42</f>
        <v>7.0233783570477879</v>
      </c>
      <c r="F37" s="112">
        <f>FINV(0.05,B37,B42)</f>
        <v>3.6337234675916301</v>
      </c>
      <c r="G37" s="112">
        <f>FINV(0.01,B37,B42)</f>
        <v>6.2262352803113821</v>
      </c>
      <c r="H37" s="102" t="s">
        <v>32</v>
      </c>
      <c r="J37" s="87" t="s">
        <v>173</v>
      </c>
      <c r="K37" s="87"/>
      <c r="L37" s="87"/>
      <c r="M37" s="87"/>
      <c r="N37" s="87"/>
      <c r="O37" s="87"/>
      <c r="P37" s="87"/>
      <c r="Q37" s="87"/>
    </row>
    <row r="38" spans="1:17" ht="15.75" thickBot="1" x14ac:dyDescent="0.3">
      <c r="A38" s="113" t="s">
        <v>174</v>
      </c>
      <c r="B38" s="102">
        <f>(I2*I3)-1</f>
        <v>8</v>
      </c>
      <c r="C38" s="112">
        <f>B19</f>
        <v>17.214607407408039</v>
      </c>
      <c r="D38" s="112">
        <f t="shared" si="8"/>
        <v>2.1518259259260049</v>
      </c>
      <c r="E38" s="112">
        <f>D38/D42</f>
        <v>3.8018716754700868</v>
      </c>
      <c r="F38" s="112">
        <f>FINV(0.05,B38,B42)</f>
        <v>2.5910961798744014</v>
      </c>
      <c r="G38" s="112">
        <f>FINV(0.01,B38,B42)</f>
        <v>3.8895721399261927</v>
      </c>
      <c r="H38" s="102" t="s">
        <v>30</v>
      </c>
      <c r="J38" s="87"/>
      <c r="K38" s="87"/>
      <c r="L38" s="87"/>
      <c r="M38" s="87"/>
      <c r="N38" s="87"/>
      <c r="O38" s="87"/>
      <c r="P38" s="87"/>
      <c r="Q38" s="87"/>
    </row>
    <row r="39" spans="1:17" ht="15.75" thickBot="1" x14ac:dyDescent="0.3">
      <c r="A39" s="114" t="s">
        <v>7</v>
      </c>
      <c r="B39" s="102">
        <f>I2-1</f>
        <v>2</v>
      </c>
      <c r="C39" s="112">
        <f>B30</f>
        <v>9.6705407407416715</v>
      </c>
      <c r="D39" s="112">
        <f t="shared" si="8"/>
        <v>4.8352703703708357</v>
      </c>
      <c r="E39" s="112">
        <f>D39/D42</f>
        <v>8.5430132813562807</v>
      </c>
      <c r="F39" s="112">
        <f>FINV(0.05,B39,B42)</f>
        <v>3.6337234675916301</v>
      </c>
      <c r="G39" s="112">
        <f>FINV(0.01,B39,B42)</f>
        <v>6.2262352803113821</v>
      </c>
      <c r="H39" s="102" t="s">
        <v>32</v>
      </c>
      <c r="J39" s="87"/>
      <c r="K39" s="87"/>
      <c r="L39" s="87"/>
      <c r="M39" s="87"/>
      <c r="N39" s="87"/>
      <c r="O39" s="87"/>
      <c r="P39" s="87"/>
      <c r="Q39" s="87"/>
    </row>
    <row r="40" spans="1:17" ht="15.75" thickBot="1" x14ac:dyDescent="0.3">
      <c r="A40" s="114" t="s">
        <v>9</v>
      </c>
      <c r="B40" s="102">
        <f>I3-1</f>
        <v>2</v>
      </c>
      <c r="C40" s="112">
        <f>B31</f>
        <v>6.165474074075064</v>
      </c>
      <c r="D40" s="112">
        <f t="shared" si="8"/>
        <v>3.082737037037532</v>
      </c>
      <c r="E40" s="112">
        <f>D40/D42</f>
        <v>5.4466165142944725</v>
      </c>
      <c r="F40" s="112">
        <f>FINV(0.05,B40,B42)</f>
        <v>3.6337234675916301</v>
      </c>
      <c r="G40" s="112">
        <f>FINV(0.01,B40,B42)</f>
        <v>6.2262352803113821</v>
      </c>
      <c r="H40" s="102" t="s">
        <v>30</v>
      </c>
      <c r="J40" s="87"/>
      <c r="K40" s="87"/>
      <c r="L40" s="87"/>
      <c r="M40" s="87"/>
      <c r="N40" s="87"/>
      <c r="O40" s="87"/>
      <c r="P40" s="87"/>
      <c r="Q40" s="87"/>
    </row>
    <row r="41" spans="1:17" ht="15.75" thickBot="1" x14ac:dyDescent="0.3">
      <c r="A41" s="114" t="s">
        <v>175</v>
      </c>
      <c r="B41" s="102">
        <f>(I2-1)*(I3-1)</f>
        <v>4</v>
      </c>
      <c r="C41" s="112">
        <f>B32</f>
        <v>1.3785925925913034</v>
      </c>
      <c r="D41" s="112">
        <f t="shared" si="8"/>
        <v>0.34464814814782585</v>
      </c>
      <c r="E41" s="112">
        <f>D41/D42</f>
        <v>0.60892845311479671</v>
      </c>
      <c r="F41" s="112">
        <f>FINV(0.05,B41,B42)</f>
        <v>3.0069172799243447</v>
      </c>
      <c r="G41" s="112">
        <f>FINV(0.01,B41,B42)</f>
        <v>4.772577999723211</v>
      </c>
      <c r="H41" s="102" t="s">
        <v>28</v>
      </c>
      <c r="J41" s="87"/>
      <c r="K41" s="87"/>
      <c r="L41" s="87"/>
      <c r="M41" s="87"/>
      <c r="N41" s="87"/>
      <c r="O41" s="87"/>
      <c r="P41" s="87"/>
      <c r="Q41" s="87"/>
    </row>
    <row r="42" spans="1:17" x14ac:dyDescent="0.25">
      <c r="A42" s="115" t="s">
        <v>176</v>
      </c>
      <c r="B42" s="102">
        <f>(I2*I3-1)*(I4-1)</f>
        <v>16</v>
      </c>
      <c r="C42" s="112">
        <f>B20</f>
        <v>9.0558592592578862</v>
      </c>
      <c r="D42" s="112">
        <f t="shared" si="8"/>
        <v>0.56599120370361788</v>
      </c>
      <c r="E42" s="49"/>
      <c r="F42" s="49"/>
      <c r="G42" s="116"/>
    </row>
    <row r="43" spans="1:17" x14ac:dyDescent="0.25">
      <c r="A43" s="117" t="s">
        <v>68</v>
      </c>
      <c r="B43" s="102">
        <f>B37+B38+B42</f>
        <v>26</v>
      </c>
      <c r="C43" s="112">
        <f>B17</f>
        <v>34.220807407408756</v>
      </c>
      <c r="D43" s="112">
        <f t="shared" si="8"/>
        <v>1.3161849002849522</v>
      </c>
      <c r="E43" s="49"/>
      <c r="F43" s="49"/>
      <c r="G43" s="116"/>
    </row>
    <row r="45" spans="1:17" x14ac:dyDescent="0.25">
      <c r="A45" s="118"/>
    </row>
    <row r="50" spans="2:10" x14ac:dyDescent="0.25">
      <c r="B50" t="s">
        <v>177</v>
      </c>
      <c r="C50" t="s">
        <v>49</v>
      </c>
      <c r="E50" s="78" t="s">
        <v>99</v>
      </c>
      <c r="F50" s="78"/>
      <c r="G50" t="s">
        <v>94</v>
      </c>
      <c r="H50" t="s">
        <v>95</v>
      </c>
      <c r="I50" s="78" t="s">
        <v>103</v>
      </c>
      <c r="J50" s="78"/>
    </row>
    <row r="51" spans="2:10" x14ac:dyDescent="0.25">
      <c r="B51" t="s">
        <v>39</v>
      </c>
      <c r="C51">
        <f>F24</f>
        <v>17.124444444444446</v>
      </c>
      <c r="D51" s="41"/>
      <c r="E51" t="s">
        <v>41</v>
      </c>
      <c r="F51">
        <f>C53</f>
        <v>16.108888888888892</v>
      </c>
      <c r="G51" s="41">
        <f>F51+J53</f>
        <v>17.024216262706677</v>
      </c>
      <c r="H51" t="s">
        <v>59</v>
      </c>
      <c r="I51" t="s">
        <v>178</v>
      </c>
      <c r="J51">
        <f>SQRT(D42/(I2*I4))</f>
        <v>0.25077462296377639</v>
      </c>
    </row>
    <row r="52" spans="2:10" x14ac:dyDescent="0.25">
      <c r="B52" t="s">
        <v>40</v>
      </c>
      <c r="C52">
        <f>F25</f>
        <v>17.53222222222222</v>
      </c>
      <c r="E52" t="s">
        <v>39</v>
      </c>
      <c r="F52">
        <f>C51</f>
        <v>17.124444444444446</v>
      </c>
      <c r="G52" s="41">
        <f>F52+J53</f>
        <v>18.039771818262231</v>
      </c>
      <c r="H52" t="s">
        <v>61</v>
      </c>
      <c r="I52" t="s">
        <v>108</v>
      </c>
      <c r="J52">
        <v>3.65</v>
      </c>
    </row>
    <row r="53" spans="2:10" x14ac:dyDescent="0.25">
      <c r="B53" t="s">
        <v>41</v>
      </c>
      <c r="C53">
        <f>F26</f>
        <v>16.108888888888892</v>
      </c>
      <c r="E53" t="s">
        <v>40</v>
      </c>
      <c r="F53">
        <f>C52</f>
        <v>17.53222222222222</v>
      </c>
      <c r="H53" t="s">
        <v>61</v>
      </c>
      <c r="I53" t="s">
        <v>43</v>
      </c>
      <c r="J53" s="41">
        <f>J51*J52</f>
        <v>0.91532737381778384</v>
      </c>
    </row>
    <row r="54" spans="2:10" x14ac:dyDescent="0.25">
      <c r="B54" s="89" t="s">
        <v>179</v>
      </c>
      <c r="C54" s="89"/>
      <c r="D54" s="89"/>
      <c r="E54" s="89"/>
      <c r="F54" s="89"/>
      <c r="G54" s="89"/>
      <c r="H54" s="89"/>
      <c r="I54" s="89"/>
      <c r="J54" s="89"/>
    </row>
    <row r="55" spans="2:10" x14ac:dyDescent="0.25">
      <c r="B55" s="89"/>
      <c r="C55" s="89"/>
      <c r="D55" s="89"/>
      <c r="E55" s="89"/>
      <c r="F55" s="89"/>
      <c r="G55" s="89"/>
      <c r="H55" s="89"/>
      <c r="I55" s="89"/>
      <c r="J55" s="89"/>
    </row>
    <row r="56" spans="2:10" x14ac:dyDescent="0.25">
      <c r="B56" s="41"/>
    </row>
    <row r="58" spans="2:10" x14ac:dyDescent="0.25">
      <c r="B58" t="s">
        <v>180</v>
      </c>
      <c r="C58" t="s">
        <v>49</v>
      </c>
      <c r="E58" s="78" t="s">
        <v>96</v>
      </c>
      <c r="F58" s="78"/>
      <c r="G58" t="s">
        <v>94</v>
      </c>
      <c r="H58" t="s">
        <v>95</v>
      </c>
      <c r="I58" s="78" t="s">
        <v>104</v>
      </c>
      <c r="J58" s="78"/>
    </row>
    <row r="59" spans="2:10" x14ac:dyDescent="0.25">
      <c r="B59" t="s">
        <v>36</v>
      </c>
      <c r="C59">
        <f>B28</f>
        <v>16.252222222222219</v>
      </c>
      <c r="E59" t="s">
        <v>36</v>
      </c>
      <c r="F59" s="49">
        <f>C59</f>
        <v>16.252222222222219</v>
      </c>
      <c r="G59" s="49">
        <f>F59+J61</f>
        <v>17.167549596040004</v>
      </c>
      <c r="H59" t="s">
        <v>59</v>
      </c>
      <c r="I59" t="s">
        <v>178</v>
      </c>
      <c r="J59">
        <f>SQRT(D42/(I3*I4))</f>
        <v>0.25077462296377639</v>
      </c>
    </row>
    <row r="60" spans="2:10" x14ac:dyDescent="0.25">
      <c r="B60" t="s">
        <v>37</v>
      </c>
      <c r="C60">
        <f>C28</f>
        <v>17.335555555555558</v>
      </c>
      <c r="E60" t="s">
        <v>38</v>
      </c>
      <c r="F60" s="41">
        <f>C61</f>
        <v>17.177777777777781</v>
      </c>
      <c r="G60" s="41">
        <f>F60+J61</f>
        <v>18.093105151595566</v>
      </c>
      <c r="H60" t="s">
        <v>61</v>
      </c>
      <c r="I60" t="s">
        <v>108</v>
      </c>
      <c r="J60">
        <v>3.65</v>
      </c>
    </row>
    <row r="61" spans="2:10" x14ac:dyDescent="0.25">
      <c r="B61" t="s">
        <v>38</v>
      </c>
      <c r="C61">
        <f>D28</f>
        <v>17.177777777777781</v>
      </c>
      <c r="E61" t="s">
        <v>37</v>
      </c>
      <c r="F61" s="41">
        <f>C60</f>
        <v>17.335555555555558</v>
      </c>
      <c r="H61" t="s">
        <v>61</v>
      </c>
      <c r="I61" t="s">
        <v>43</v>
      </c>
      <c r="J61">
        <f>J59*J60</f>
        <v>0.91532737381778384</v>
      </c>
    </row>
    <row r="62" spans="2:10" x14ac:dyDescent="0.25">
      <c r="B62" s="87" t="s">
        <v>181</v>
      </c>
      <c r="C62" s="87"/>
      <c r="D62" s="87"/>
      <c r="E62" s="87"/>
      <c r="F62" s="87"/>
      <c r="G62" s="87"/>
      <c r="H62" s="87"/>
      <c r="I62" s="87"/>
      <c r="J62" s="87"/>
    </row>
    <row r="63" spans="2:10" x14ac:dyDescent="0.25">
      <c r="B63" s="87"/>
      <c r="C63" s="87"/>
      <c r="D63" s="87"/>
      <c r="E63" s="87"/>
      <c r="F63" s="87"/>
      <c r="G63" s="87"/>
      <c r="H63" s="87"/>
      <c r="I63" s="87"/>
      <c r="J63" s="87"/>
    </row>
    <row r="65" spans="2:10" x14ac:dyDescent="0.25">
      <c r="B65" t="s">
        <v>0</v>
      </c>
      <c r="C65" t="s">
        <v>49</v>
      </c>
      <c r="E65" s="78" t="s">
        <v>96</v>
      </c>
      <c r="F65" s="78"/>
      <c r="G65" t="s">
        <v>94</v>
      </c>
      <c r="H65" t="s">
        <v>95</v>
      </c>
      <c r="I65" s="78" t="s">
        <v>106</v>
      </c>
      <c r="J65" s="78"/>
    </row>
    <row r="66" spans="2:10" x14ac:dyDescent="0.25">
      <c r="B66" t="s">
        <v>8</v>
      </c>
      <c r="C66" s="49">
        <f t="shared" ref="C66:C74" si="9">F4</f>
        <v>16.593333333333334</v>
      </c>
      <c r="E66" t="s">
        <v>17</v>
      </c>
      <c r="F66" s="49">
        <f>C72</f>
        <v>15.729999999999999</v>
      </c>
      <c r="G66" s="49">
        <f>F66+J68</f>
        <v>17.710656010293182</v>
      </c>
      <c r="H66" t="s">
        <v>59</v>
      </c>
      <c r="I66" t="s">
        <v>178</v>
      </c>
      <c r="J66">
        <f>SQRT(D42/3)</f>
        <v>0.43435438822218964</v>
      </c>
    </row>
    <row r="67" spans="2:10" x14ac:dyDescent="0.25">
      <c r="B67" t="s">
        <v>10</v>
      </c>
      <c r="C67" s="49">
        <f t="shared" si="9"/>
        <v>17.556666666666668</v>
      </c>
      <c r="E67" t="s">
        <v>26</v>
      </c>
      <c r="F67" s="49">
        <f>C74</f>
        <v>16.296666666666667</v>
      </c>
      <c r="G67" s="49">
        <f>F67+J68</f>
        <v>18.277322676959852</v>
      </c>
      <c r="H67" t="s">
        <v>57</v>
      </c>
      <c r="I67" t="s">
        <v>108</v>
      </c>
      <c r="J67">
        <v>4.5599999999999996</v>
      </c>
    </row>
    <row r="68" spans="2:10" x14ac:dyDescent="0.25">
      <c r="B68" t="s">
        <v>12</v>
      </c>
      <c r="C68" s="49">
        <f t="shared" si="9"/>
        <v>17.223333333333333</v>
      </c>
      <c r="E68" t="s">
        <v>18</v>
      </c>
      <c r="F68" s="49">
        <f>C73</f>
        <v>16.3</v>
      </c>
      <c r="H68" t="s">
        <v>57</v>
      </c>
      <c r="I68" t="s">
        <v>102</v>
      </c>
      <c r="J68">
        <f>J66*J67</f>
        <v>1.9806560102931845</v>
      </c>
    </row>
    <row r="69" spans="2:10" x14ac:dyDescent="0.25">
      <c r="B69" t="s">
        <v>13</v>
      </c>
      <c r="C69" s="49">
        <f t="shared" si="9"/>
        <v>16.433333333333334</v>
      </c>
      <c r="E69" t="s">
        <v>13</v>
      </c>
      <c r="F69" s="49">
        <f>C69</f>
        <v>16.433333333333334</v>
      </c>
      <c r="H69" t="s">
        <v>57</v>
      </c>
    </row>
    <row r="70" spans="2:10" x14ac:dyDescent="0.25">
      <c r="B70" t="s">
        <v>15</v>
      </c>
      <c r="C70" s="49">
        <f t="shared" si="9"/>
        <v>18.150000000000002</v>
      </c>
      <c r="E70" t="s">
        <v>8</v>
      </c>
      <c r="F70" s="49">
        <f>C66</f>
        <v>16.593333333333334</v>
      </c>
      <c r="H70" t="s">
        <v>57</v>
      </c>
    </row>
    <row r="71" spans="2:10" x14ac:dyDescent="0.25">
      <c r="B71" t="s">
        <v>16</v>
      </c>
      <c r="C71" s="49">
        <f t="shared" si="9"/>
        <v>18.013333333333332</v>
      </c>
      <c r="E71" t="s">
        <v>12</v>
      </c>
      <c r="F71" s="49">
        <f>C68</f>
        <v>17.223333333333333</v>
      </c>
      <c r="H71" t="s">
        <v>57</v>
      </c>
    </row>
    <row r="72" spans="2:10" x14ac:dyDescent="0.25">
      <c r="B72" t="s">
        <v>17</v>
      </c>
      <c r="C72" s="49">
        <f t="shared" si="9"/>
        <v>15.729999999999999</v>
      </c>
      <c r="E72" t="s">
        <v>10</v>
      </c>
      <c r="F72" s="49">
        <f>C67</f>
        <v>17.556666666666668</v>
      </c>
      <c r="H72" t="s">
        <v>57</v>
      </c>
    </row>
    <row r="73" spans="2:10" x14ac:dyDescent="0.25">
      <c r="B73" t="s">
        <v>18</v>
      </c>
      <c r="C73" s="49">
        <f t="shared" si="9"/>
        <v>16.3</v>
      </c>
      <c r="E73" t="s">
        <v>15</v>
      </c>
      <c r="F73" s="49">
        <f>C71</f>
        <v>18.013333333333332</v>
      </c>
      <c r="H73" t="s">
        <v>61</v>
      </c>
    </row>
    <row r="74" spans="2:10" x14ac:dyDescent="0.25">
      <c r="B74" t="s">
        <v>26</v>
      </c>
      <c r="C74" s="49">
        <f t="shared" si="9"/>
        <v>16.296666666666667</v>
      </c>
      <c r="E74" t="s">
        <v>16</v>
      </c>
      <c r="F74" s="49">
        <f>C70</f>
        <v>18.150000000000002</v>
      </c>
      <c r="H74" t="s">
        <v>61</v>
      </c>
    </row>
  </sheetData>
  <mergeCells count="21">
    <mergeCell ref="E58:F58"/>
    <mergeCell ref="I58:J58"/>
    <mergeCell ref="B62:J63"/>
    <mergeCell ref="E65:F65"/>
    <mergeCell ref="I65:J65"/>
    <mergeCell ref="G35:G36"/>
    <mergeCell ref="H35:H36"/>
    <mergeCell ref="J37:Q41"/>
    <mergeCell ref="E50:F50"/>
    <mergeCell ref="I50:J50"/>
    <mergeCell ref="B54:J55"/>
    <mergeCell ref="A2:A3"/>
    <mergeCell ref="B2:D2"/>
    <mergeCell ref="E2:E3"/>
    <mergeCell ref="F2:F3"/>
    <mergeCell ref="A35:A36"/>
    <mergeCell ref="B35:B36"/>
    <mergeCell ref="C35:C36"/>
    <mergeCell ref="D35:D36"/>
    <mergeCell ref="E35:E36"/>
    <mergeCell ref="F35:F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52"/>
  <sheetViews>
    <sheetView zoomScale="70" zoomScaleNormal="70" workbookViewId="0">
      <selection activeCell="P7" sqref="P7"/>
    </sheetView>
  </sheetViews>
  <sheetFormatPr defaultRowHeight="15" x14ac:dyDescent="0.25"/>
  <cols>
    <col min="2" max="2" width="18.140625" customWidth="1"/>
    <col min="4" max="4" width="12" customWidth="1"/>
    <col min="6" max="6" width="14.42578125" customWidth="1"/>
    <col min="7" max="7" width="14.28515625" customWidth="1"/>
    <col min="9" max="9" width="14.140625" customWidth="1"/>
    <col min="10" max="10" width="10.7109375" bestFit="1" customWidth="1"/>
    <col min="11" max="11" width="9.140625" customWidth="1"/>
    <col min="12" max="12" width="12.7109375" customWidth="1"/>
  </cols>
  <sheetData>
    <row r="1" spans="2:27" x14ac:dyDescent="0.25">
      <c r="G1" s="49"/>
      <c r="H1" s="49"/>
      <c r="I1" s="49"/>
      <c r="J1" s="49"/>
    </row>
    <row r="2" spans="2:27" ht="15.75" x14ac:dyDescent="0.25">
      <c r="B2" s="77" t="s">
        <v>0</v>
      </c>
      <c r="C2" s="77" t="s">
        <v>1</v>
      </c>
      <c r="D2" s="77"/>
      <c r="E2" s="77"/>
      <c r="F2" s="77" t="s">
        <v>2</v>
      </c>
      <c r="G2" s="82" t="s">
        <v>3</v>
      </c>
      <c r="H2" s="13"/>
      <c r="I2" s="13"/>
      <c r="J2" s="13"/>
      <c r="K2" s="1"/>
      <c r="L2" s="1"/>
      <c r="M2" s="1"/>
      <c r="N2" s="1"/>
      <c r="O2" s="1"/>
      <c r="P2" s="1"/>
      <c r="X2" t="s">
        <v>51</v>
      </c>
      <c r="Y2" t="s">
        <v>60</v>
      </c>
      <c r="Z2" t="s">
        <v>53</v>
      </c>
      <c r="AA2" t="s">
        <v>54</v>
      </c>
    </row>
    <row r="3" spans="2:27" ht="15.75" x14ac:dyDescent="0.25">
      <c r="B3" s="77"/>
      <c r="C3" s="2" t="s">
        <v>4</v>
      </c>
      <c r="D3" s="2" t="s">
        <v>5</v>
      </c>
      <c r="E3" s="2" t="s">
        <v>6</v>
      </c>
      <c r="F3" s="77"/>
      <c r="G3" s="82"/>
      <c r="H3" s="13"/>
      <c r="I3" s="57" t="s">
        <v>7</v>
      </c>
      <c r="J3" s="59">
        <v>3</v>
      </c>
      <c r="K3" s="1"/>
      <c r="L3" s="1"/>
      <c r="M3" s="1"/>
      <c r="N3" s="1"/>
      <c r="O3" s="1"/>
      <c r="P3" s="1"/>
      <c r="X3" t="s">
        <v>39</v>
      </c>
      <c r="Y3" t="s">
        <v>36</v>
      </c>
      <c r="Z3">
        <v>1</v>
      </c>
      <c r="AA3">
        <f>C4</f>
        <v>0.03</v>
      </c>
    </row>
    <row r="4" spans="2:27" ht="15.75" x14ac:dyDescent="0.25">
      <c r="B4" s="4" t="s">
        <v>79</v>
      </c>
      <c r="C4" s="4">
        <v>0.03</v>
      </c>
      <c r="D4" s="4">
        <v>0.01</v>
      </c>
      <c r="E4" s="4">
        <v>0.02</v>
      </c>
      <c r="F4" s="4">
        <f>SUM(C4:E4)</f>
        <v>0.06</v>
      </c>
      <c r="G4" s="51">
        <f>AVERAGE(C4:E4)</f>
        <v>0.02</v>
      </c>
      <c r="H4" s="13">
        <f>STDEV(C4:E4)</f>
        <v>1.0000000000000002E-2</v>
      </c>
      <c r="I4" s="57" t="s">
        <v>9</v>
      </c>
      <c r="J4" s="59">
        <v>3</v>
      </c>
      <c r="K4" s="1"/>
      <c r="L4" s="1"/>
      <c r="M4" s="1"/>
      <c r="N4" s="1"/>
      <c r="O4" s="1"/>
      <c r="P4" s="1"/>
      <c r="X4" t="s">
        <v>39</v>
      </c>
      <c r="Y4" t="s">
        <v>36</v>
      </c>
      <c r="Z4">
        <v>2</v>
      </c>
      <c r="AA4">
        <f>D4</f>
        <v>0.01</v>
      </c>
    </row>
    <row r="5" spans="2:27" ht="15.75" x14ac:dyDescent="0.25">
      <c r="B5" s="4" t="s">
        <v>80</v>
      </c>
      <c r="C5" s="4">
        <v>0.04</v>
      </c>
      <c r="D5" s="4">
        <v>0.01</v>
      </c>
      <c r="E5" s="4">
        <v>0.04</v>
      </c>
      <c r="F5" s="4">
        <f t="shared" ref="F5:F12" si="0">SUM(C5:E5)</f>
        <v>0.09</v>
      </c>
      <c r="G5" s="51">
        <f t="shared" ref="G5:G12" si="1">AVERAGE(C5:E5)</f>
        <v>0.03</v>
      </c>
      <c r="H5" s="13">
        <f t="shared" ref="H5:H12" si="2">STDEV(C5:E5)</f>
        <v>1.7320508075688777E-2</v>
      </c>
      <c r="I5" s="57" t="s">
        <v>11</v>
      </c>
      <c r="J5" s="59">
        <v>3</v>
      </c>
      <c r="K5" s="1"/>
      <c r="L5" s="1"/>
      <c r="M5" s="1"/>
      <c r="N5" s="1"/>
      <c r="O5" s="1"/>
      <c r="P5" s="1"/>
      <c r="X5" t="s">
        <v>39</v>
      </c>
      <c r="Y5" t="s">
        <v>36</v>
      </c>
      <c r="Z5">
        <v>3</v>
      </c>
      <c r="AA5">
        <f>E4</f>
        <v>0.02</v>
      </c>
    </row>
    <row r="6" spans="2:27" ht="15.75" x14ac:dyDescent="0.25">
      <c r="B6" s="4" t="s">
        <v>87</v>
      </c>
      <c r="C6" s="4">
        <v>0.06</v>
      </c>
      <c r="D6" s="20">
        <v>0.03</v>
      </c>
      <c r="E6" s="4">
        <v>0.02</v>
      </c>
      <c r="F6" s="4">
        <f t="shared" si="0"/>
        <v>0.11</v>
      </c>
      <c r="G6" s="51">
        <f t="shared" si="1"/>
        <v>3.6666666666666667E-2</v>
      </c>
      <c r="H6" s="13">
        <f t="shared" si="2"/>
        <v>2.0816659994661327E-2</v>
      </c>
      <c r="I6" s="13"/>
      <c r="J6" s="13"/>
      <c r="K6" s="1"/>
      <c r="L6" s="1"/>
      <c r="M6" s="1"/>
      <c r="N6" s="1"/>
      <c r="O6" s="1"/>
      <c r="P6" s="1"/>
      <c r="X6" t="s">
        <v>39</v>
      </c>
      <c r="Y6" t="s">
        <v>37</v>
      </c>
      <c r="Z6">
        <v>1</v>
      </c>
      <c r="AA6">
        <f>C5</f>
        <v>0.04</v>
      </c>
    </row>
    <row r="7" spans="2:27" ht="15.75" x14ac:dyDescent="0.25">
      <c r="B7" s="4" t="s">
        <v>81</v>
      </c>
      <c r="C7" s="4">
        <v>0.01</v>
      </c>
      <c r="D7" s="20">
        <v>0.03</v>
      </c>
      <c r="E7" s="4">
        <v>0.03</v>
      </c>
      <c r="F7" s="4">
        <f t="shared" si="0"/>
        <v>7.0000000000000007E-2</v>
      </c>
      <c r="G7" s="51">
        <f t="shared" si="1"/>
        <v>2.3333333333333334E-2</v>
      </c>
      <c r="H7" s="13">
        <f t="shared" si="2"/>
        <v>1.1547005383792509E-2</v>
      </c>
      <c r="I7" s="13" t="s">
        <v>14</v>
      </c>
      <c r="J7" s="7">
        <f>(F13^2)/(J3*J4*J5)</f>
        <v>2.3114814814814817E-2</v>
      </c>
      <c r="K7" s="1"/>
      <c r="L7" s="1"/>
      <c r="M7" s="1"/>
      <c r="N7" s="1"/>
      <c r="O7" s="1"/>
      <c r="P7" s="1"/>
      <c r="X7" t="s">
        <v>39</v>
      </c>
      <c r="Y7" t="s">
        <v>37</v>
      </c>
      <c r="Z7">
        <v>2</v>
      </c>
      <c r="AA7">
        <f>D5</f>
        <v>0.01</v>
      </c>
    </row>
    <row r="8" spans="2:27" ht="15.75" x14ac:dyDescent="0.25">
      <c r="B8" s="4" t="s">
        <v>82</v>
      </c>
      <c r="C8" s="4">
        <v>0.03</v>
      </c>
      <c r="D8" s="4">
        <v>0.02</v>
      </c>
      <c r="E8" s="4">
        <v>0.01</v>
      </c>
      <c r="F8" s="4">
        <f t="shared" si="0"/>
        <v>6.0000000000000005E-2</v>
      </c>
      <c r="G8" s="51">
        <f t="shared" si="1"/>
        <v>0.02</v>
      </c>
      <c r="H8" s="13">
        <f t="shared" si="2"/>
        <v>9.9999999999999915E-3</v>
      </c>
      <c r="I8" s="13"/>
      <c r="J8" s="13"/>
      <c r="K8" s="1"/>
      <c r="L8" s="1"/>
      <c r="M8" s="1"/>
      <c r="N8" s="1"/>
      <c r="O8" s="1"/>
      <c r="P8" s="1"/>
      <c r="X8" t="s">
        <v>39</v>
      </c>
      <c r="Y8" t="s">
        <v>37</v>
      </c>
      <c r="Z8">
        <v>3</v>
      </c>
      <c r="AA8">
        <f>E5</f>
        <v>0.04</v>
      </c>
    </row>
    <row r="9" spans="2:27" ht="15.75" x14ac:dyDescent="0.25">
      <c r="B9" s="4" t="s">
        <v>83</v>
      </c>
      <c r="C9" s="4">
        <v>7.0000000000000007E-2</v>
      </c>
      <c r="D9" s="4">
        <v>0.03</v>
      </c>
      <c r="E9" s="4">
        <v>0.05</v>
      </c>
      <c r="F9" s="4">
        <f t="shared" si="0"/>
        <v>0.15000000000000002</v>
      </c>
      <c r="G9" s="51">
        <f t="shared" si="1"/>
        <v>5.000000000000001E-2</v>
      </c>
      <c r="H9" s="13">
        <f t="shared" si="2"/>
        <v>1.9999999999999993E-2</v>
      </c>
      <c r="I9" s="13"/>
      <c r="J9" s="13"/>
      <c r="K9" s="1"/>
      <c r="L9" s="1"/>
      <c r="M9" s="1"/>
      <c r="N9" s="1"/>
      <c r="O9" s="1"/>
      <c r="P9" s="1"/>
      <c r="X9" t="s">
        <v>39</v>
      </c>
      <c r="Y9" t="s">
        <v>38</v>
      </c>
      <c r="Z9">
        <v>1</v>
      </c>
      <c r="AA9">
        <f>C6</f>
        <v>0.06</v>
      </c>
    </row>
    <row r="10" spans="2:27" ht="15.75" x14ac:dyDescent="0.25">
      <c r="B10" s="4" t="s">
        <v>84</v>
      </c>
      <c r="C10" s="4">
        <v>0.01</v>
      </c>
      <c r="D10" s="4">
        <v>0.01</v>
      </c>
      <c r="E10" s="4">
        <v>0.03</v>
      </c>
      <c r="F10" s="4">
        <f t="shared" si="0"/>
        <v>0.05</v>
      </c>
      <c r="G10" s="51">
        <f t="shared" si="1"/>
        <v>1.6666666666666666E-2</v>
      </c>
      <c r="H10" s="13">
        <f t="shared" si="2"/>
        <v>1.1547005383792512E-2</v>
      </c>
      <c r="I10" s="13"/>
      <c r="J10" s="13"/>
      <c r="K10" s="1"/>
      <c r="L10" s="1"/>
      <c r="M10" s="1"/>
      <c r="N10" s="1"/>
      <c r="O10" s="1"/>
      <c r="P10" s="1"/>
      <c r="X10" t="s">
        <v>39</v>
      </c>
      <c r="Y10" t="s">
        <v>38</v>
      </c>
      <c r="Z10">
        <v>2</v>
      </c>
      <c r="AA10" s="41">
        <f>D6</f>
        <v>0.03</v>
      </c>
    </row>
    <row r="11" spans="2:27" ht="15.75" x14ac:dyDescent="0.25">
      <c r="B11" s="4" t="s">
        <v>85</v>
      </c>
      <c r="C11" s="4">
        <v>0.01</v>
      </c>
      <c r="D11" s="4">
        <v>0.02</v>
      </c>
      <c r="E11" s="4">
        <v>0.05</v>
      </c>
      <c r="F11" s="4">
        <f t="shared" si="0"/>
        <v>0.08</v>
      </c>
      <c r="G11" s="51">
        <f t="shared" si="1"/>
        <v>2.6666666666666668E-2</v>
      </c>
      <c r="H11" s="13">
        <f t="shared" si="2"/>
        <v>2.0816659994661334E-2</v>
      </c>
      <c r="I11" s="83" t="s">
        <v>19</v>
      </c>
      <c r="J11" s="83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X11" t="s">
        <v>39</v>
      </c>
      <c r="Y11" t="s">
        <v>38</v>
      </c>
      <c r="Z11">
        <v>3</v>
      </c>
      <c r="AA11">
        <f>E6</f>
        <v>0.02</v>
      </c>
    </row>
    <row r="12" spans="2:27" ht="15.75" x14ac:dyDescent="0.25">
      <c r="B12" s="4" t="s">
        <v>86</v>
      </c>
      <c r="C12" s="4">
        <v>0.04</v>
      </c>
      <c r="D12" s="4">
        <v>0.03</v>
      </c>
      <c r="E12" s="4">
        <v>0.05</v>
      </c>
      <c r="F12" s="4">
        <f t="shared" si="0"/>
        <v>0.12000000000000001</v>
      </c>
      <c r="G12" s="51">
        <f t="shared" si="1"/>
        <v>0.04</v>
      </c>
      <c r="H12" s="13">
        <f t="shared" si="2"/>
        <v>9.9999999999999915E-3</v>
      </c>
      <c r="I12" s="84"/>
      <c r="J12" s="84"/>
      <c r="K12" s="76"/>
      <c r="L12" s="76"/>
      <c r="M12" s="76"/>
      <c r="N12" s="9">
        <v>0.05</v>
      </c>
      <c r="O12" s="9">
        <v>0.01</v>
      </c>
      <c r="P12" s="76"/>
      <c r="X12" t="s">
        <v>40</v>
      </c>
      <c r="Y12" t="s">
        <v>36</v>
      </c>
      <c r="Z12">
        <v>1</v>
      </c>
      <c r="AA12">
        <f>C7</f>
        <v>0.01</v>
      </c>
    </row>
    <row r="13" spans="2:27" ht="15.75" x14ac:dyDescent="0.25">
      <c r="B13" s="2" t="s">
        <v>2</v>
      </c>
      <c r="C13" s="4">
        <f>SUM(C4:C12)</f>
        <v>0.3</v>
      </c>
      <c r="D13" s="4">
        <f>SUM(D4:D12)</f>
        <v>0.19</v>
      </c>
      <c r="E13" s="4">
        <f>SUM(E4:E12)</f>
        <v>0.3</v>
      </c>
      <c r="F13" s="10">
        <f>SUM(F4:F12)</f>
        <v>0.79</v>
      </c>
      <c r="G13" s="51"/>
      <c r="H13" s="13"/>
      <c r="I13" s="13" t="s">
        <v>27</v>
      </c>
      <c r="J13" s="59">
        <f>(J5-1)</f>
        <v>2</v>
      </c>
      <c r="K13" s="12">
        <f>SUMSQ(C13:E13)/(J3*J4)-J7</f>
        <v>8.9629629629629087E-4</v>
      </c>
      <c r="L13" s="12">
        <f t="shared" ref="L13:L18" si="3">K13/J13</f>
        <v>4.4814814814814544E-4</v>
      </c>
      <c r="M13" s="13">
        <f>L13/L18</f>
        <v>2.1274725274725119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t="s">
        <v>25</v>
      </c>
      <c r="S13" t="s">
        <v>28</v>
      </c>
      <c r="T13" t="s">
        <v>29</v>
      </c>
      <c r="X13" t="s">
        <v>40</v>
      </c>
      <c r="Y13" t="s">
        <v>36</v>
      </c>
      <c r="Z13">
        <v>2</v>
      </c>
      <c r="AA13" s="41">
        <f>D7</f>
        <v>0.03</v>
      </c>
    </row>
    <row r="14" spans="2:27" ht="15.75" x14ac:dyDescent="0.25">
      <c r="B14" s="1"/>
      <c r="C14" s="1"/>
      <c r="D14" s="1"/>
      <c r="E14" s="1"/>
      <c r="F14" s="1"/>
      <c r="G14" s="13"/>
      <c r="H14" s="13"/>
      <c r="I14" s="13" t="s">
        <v>0</v>
      </c>
      <c r="J14" s="59">
        <f>(J3*J4-1)</f>
        <v>8</v>
      </c>
      <c r="K14" s="12">
        <f>SUMSQ(F4:F12)/J5-J7</f>
        <v>2.9185185185185182E-3</v>
      </c>
      <c r="L14" s="12">
        <f t="shared" si="3"/>
        <v>3.6481481481481478E-4</v>
      </c>
      <c r="M14" s="13">
        <f>L14/L18</f>
        <v>1.7318681318681297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tn</v>
      </c>
      <c r="S14" t="s">
        <v>30</v>
      </c>
      <c r="T14" t="s">
        <v>31</v>
      </c>
      <c r="X14" t="s">
        <v>40</v>
      </c>
      <c r="Y14" t="s">
        <v>36</v>
      </c>
      <c r="Z14">
        <v>3</v>
      </c>
      <c r="AA14">
        <f>E7</f>
        <v>0.03</v>
      </c>
    </row>
    <row r="15" spans="2:27" ht="15.75" x14ac:dyDescent="0.25">
      <c r="B15" s="1"/>
      <c r="C15" s="1"/>
      <c r="D15" s="1"/>
      <c r="E15" s="1"/>
      <c r="F15" s="1"/>
      <c r="G15" s="13"/>
      <c r="H15" s="13"/>
      <c r="I15" s="58" t="s">
        <v>7</v>
      </c>
      <c r="J15" s="59">
        <f>(J3-1)</f>
        <v>2</v>
      </c>
      <c r="K15" s="12">
        <f>SUMSQ(F20:F22)/(J3*J5)-J7</f>
        <v>5.1851851851851538E-5</v>
      </c>
      <c r="L15" s="12">
        <f t="shared" si="3"/>
        <v>2.5925925925925769E-5</v>
      </c>
      <c r="M15" s="13">
        <f>L15/L18</f>
        <v>0.1230769230769222</v>
      </c>
      <c r="N15" s="13">
        <f>FINV(N12,J15,J18)</f>
        <v>3.6337234675916301</v>
      </c>
      <c r="O15" s="13">
        <f>FINV(O12,J15,J18)</f>
        <v>6.2262352803113821</v>
      </c>
      <c r="P15" s="1" t="str">
        <f>IF(M15&lt;N15,"tn",IF(M15&lt;O15,"*","**"))</f>
        <v>tn</v>
      </c>
      <c r="S15" t="s">
        <v>32</v>
      </c>
      <c r="T15" t="s">
        <v>33</v>
      </c>
      <c r="X15" t="s">
        <v>40</v>
      </c>
      <c r="Y15" t="s">
        <v>37</v>
      </c>
      <c r="Z15">
        <v>1</v>
      </c>
      <c r="AA15">
        <f>C8</f>
        <v>0.03</v>
      </c>
    </row>
    <row r="16" spans="2:27" ht="15.75" x14ac:dyDescent="0.25">
      <c r="B16" s="1"/>
      <c r="C16" s="1"/>
      <c r="D16" s="1"/>
      <c r="E16" s="1"/>
      <c r="F16" s="1"/>
      <c r="G16" s="13"/>
      <c r="H16" s="13"/>
      <c r="I16" s="58" t="s">
        <v>9</v>
      </c>
      <c r="J16" s="59">
        <f>(J4-1)</f>
        <v>2</v>
      </c>
      <c r="K16" s="12">
        <f>SUMSQ(C23:E23)/(J4*J5)-J7</f>
        <v>2.4074074074074032E-3</v>
      </c>
      <c r="L16" s="12">
        <f t="shared" si="3"/>
        <v>1.2037037037037016E-3</v>
      </c>
      <c r="M16" s="13">
        <f>L16/L18</f>
        <v>5.7142857142856975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*</v>
      </c>
      <c r="X16" t="s">
        <v>40</v>
      </c>
      <c r="Y16" t="s">
        <v>37</v>
      </c>
      <c r="Z16">
        <v>2</v>
      </c>
      <c r="AA16">
        <f>D8</f>
        <v>0.02</v>
      </c>
    </row>
    <row r="17" spans="2:27" ht="15.75" x14ac:dyDescent="0.25">
      <c r="B17" s="1"/>
      <c r="C17" s="1"/>
      <c r="D17" s="1" t="s">
        <v>34</v>
      </c>
      <c r="E17" s="1"/>
      <c r="F17" s="1"/>
      <c r="G17" s="13"/>
      <c r="H17" s="13"/>
      <c r="I17" s="58" t="s">
        <v>44</v>
      </c>
      <c r="J17" s="59">
        <f>(J3-1)*(J4-1)</f>
        <v>4</v>
      </c>
      <c r="K17" s="12">
        <f>K14-K15-K16</f>
        <v>4.5925925925926342E-4</v>
      </c>
      <c r="L17" s="12">
        <f t="shared" si="3"/>
        <v>1.1481481481481585E-4</v>
      </c>
      <c r="M17" s="13">
        <f>L17/L18</f>
        <v>0.54505494505494934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tn</v>
      </c>
      <c r="X17" t="s">
        <v>40</v>
      </c>
      <c r="Y17" t="s">
        <v>37</v>
      </c>
      <c r="Z17">
        <v>3</v>
      </c>
      <c r="AA17">
        <f>E8</f>
        <v>0.01</v>
      </c>
    </row>
    <row r="18" spans="2:27" ht="15.75" x14ac:dyDescent="0.25">
      <c r="B18" s="79" t="s">
        <v>7</v>
      </c>
      <c r="C18" s="79" t="s">
        <v>9</v>
      </c>
      <c r="D18" s="79"/>
      <c r="E18" s="79"/>
      <c r="F18" s="80" t="s">
        <v>2</v>
      </c>
      <c r="G18" s="81" t="s">
        <v>3</v>
      </c>
      <c r="H18" s="13"/>
      <c r="I18" s="13" t="s">
        <v>35</v>
      </c>
      <c r="J18" s="59">
        <f>(J3*J4-1)*(J5-1)</f>
        <v>16</v>
      </c>
      <c r="K18" s="12">
        <f>K19-K13-K14</f>
        <v>3.3703703703703743E-3</v>
      </c>
      <c r="L18" s="12">
        <f t="shared" si="3"/>
        <v>2.1064814814814839E-4</v>
      </c>
      <c r="M18" s="14"/>
      <c r="N18" s="14"/>
      <c r="O18" s="14"/>
      <c r="P18" s="14"/>
      <c r="X18" t="s">
        <v>40</v>
      </c>
      <c r="Y18" t="s">
        <v>38</v>
      </c>
      <c r="Z18">
        <v>1</v>
      </c>
      <c r="AA18">
        <f>C9</f>
        <v>7.0000000000000007E-2</v>
      </c>
    </row>
    <row r="19" spans="2:27" ht="15.75" x14ac:dyDescent="0.25">
      <c r="B19" s="79"/>
      <c r="C19" s="4" t="s">
        <v>36</v>
      </c>
      <c r="D19" s="4" t="s">
        <v>37</v>
      </c>
      <c r="E19" s="4" t="s">
        <v>38</v>
      </c>
      <c r="F19" s="80"/>
      <c r="G19" s="81"/>
      <c r="H19" s="13"/>
      <c r="I19" s="38" t="s">
        <v>2</v>
      </c>
      <c r="J19" s="60">
        <f>(J3*J4*J5-1)</f>
        <v>26</v>
      </c>
      <c r="K19" s="16">
        <f>SUMSQ(C4:E12)-J7</f>
        <v>7.1851851851851833E-3</v>
      </c>
      <c r="L19" s="17"/>
      <c r="M19" s="17"/>
      <c r="N19" s="17"/>
      <c r="O19" s="17"/>
      <c r="P19" s="17"/>
      <c r="X19" t="s">
        <v>40</v>
      </c>
      <c r="Y19" t="s">
        <v>38</v>
      </c>
      <c r="Z19">
        <v>2</v>
      </c>
      <c r="AA19">
        <f>D9</f>
        <v>0.03</v>
      </c>
    </row>
    <row r="20" spans="2:27" ht="15.75" x14ac:dyDescent="0.25">
      <c r="B20" s="4" t="s">
        <v>39</v>
      </c>
      <c r="C20" s="4">
        <f>F4</f>
        <v>0.06</v>
      </c>
      <c r="D20" s="4">
        <f>F5</f>
        <v>0.09</v>
      </c>
      <c r="E20" s="4">
        <f>F6</f>
        <v>0.11</v>
      </c>
      <c r="F20" s="8">
        <f>SUM(C20:E20)</f>
        <v>0.26</v>
      </c>
      <c r="G20" s="56">
        <f>F20/9</f>
        <v>2.8888888888888891E-2</v>
      </c>
      <c r="H20" s="13"/>
      <c r="I20" s="13"/>
      <c r="J20" s="13"/>
      <c r="K20" s="1"/>
      <c r="L20" s="1"/>
      <c r="M20" s="1"/>
      <c r="N20" s="1"/>
      <c r="O20" s="1"/>
      <c r="P20" s="1"/>
      <c r="X20" t="s">
        <v>40</v>
      </c>
      <c r="Y20" t="s">
        <v>38</v>
      </c>
      <c r="Z20">
        <v>3</v>
      </c>
      <c r="AA20">
        <f>E9</f>
        <v>0.05</v>
      </c>
    </row>
    <row r="21" spans="2:27" ht="15.75" x14ac:dyDescent="0.25">
      <c r="B21" s="4" t="s">
        <v>40</v>
      </c>
      <c r="C21" s="4">
        <f>F7</f>
        <v>7.0000000000000007E-2</v>
      </c>
      <c r="D21" s="4">
        <f>F8</f>
        <v>6.0000000000000005E-2</v>
      </c>
      <c r="E21" s="4">
        <f>F9</f>
        <v>0.15000000000000002</v>
      </c>
      <c r="F21" s="8">
        <f>SUM(C21:E21)</f>
        <v>0.28000000000000003</v>
      </c>
      <c r="G21" s="56">
        <f>F21/9</f>
        <v>3.1111111111111114E-2</v>
      </c>
      <c r="H21" s="13"/>
      <c r="I21" s="13"/>
      <c r="J21" s="6"/>
      <c r="K21" s="1"/>
      <c r="L21" s="1"/>
      <c r="M21" s="1"/>
      <c r="N21" s="85" t="s">
        <v>154</v>
      </c>
      <c r="O21" s="85"/>
      <c r="P21" s="85"/>
      <c r="Q21" s="85"/>
      <c r="R21" s="85"/>
      <c r="S21" s="85"/>
      <c r="T21" s="85"/>
      <c r="U21" s="85"/>
      <c r="V21" s="85"/>
      <c r="X21" t="s">
        <v>41</v>
      </c>
      <c r="Y21" t="s">
        <v>36</v>
      </c>
      <c r="Z21">
        <v>1</v>
      </c>
      <c r="AA21">
        <f>C10</f>
        <v>0.01</v>
      </c>
    </row>
    <row r="22" spans="2:27" ht="15.6" customHeight="1" x14ac:dyDescent="0.25">
      <c r="B22" s="4" t="s">
        <v>41</v>
      </c>
      <c r="C22" s="4">
        <f>F10</f>
        <v>0.05</v>
      </c>
      <c r="D22" s="4">
        <f>F11</f>
        <v>0.08</v>
      </c>
      <c r="E22" s="4">
        <f>F12</f>
        <v>0.12000000000000001</v>
      </c>
      <c r="F22" s="8">
        <f>SUM(C22:E22)</f>
        <v>0.25</v>
      </c>
      <c r="G22" s="56">
        <f>F22/9</f>
        <v>2.7777777777777776E-2</v>
      </c>
      <c r="H22" s="13"/>
      <c r="I22" s="13"/>
      <c r="J22" s="13"/>
      <c r="K22" s="1"/>
      <c r="L22" s="1"/>
      <c r="M22" s="1"/>
      <c r="N22" s="85"/>
      <c r="O22" s="85"/>
      <c r="P22" s="85"/>
      <c r="Q22" s="85"/>
      <c r="R22" s="85"/>
      <c r="S22" s="85"/>
      <c r="T22" s="85"/>
      <c r="U22" s="85"/>
      <c r="V22" s="85"/>
      <c r="X22" t="s">
        <v>41</v>
      </c>
      <c r="Y22" t="s">
        <v>36</v>
      </c>
      <c r="Z22">
        <v>2</v>
      </c>
      <c r="AA22">
        <f>D10</f>
        <v>0.01</v>
      </c>
    </row>
    <row r="23" spans="2:27" ht="15.75" x14ac:dyDescent="0.25">
      <c r="B23" s="19" t="s">
        <v>2</v>
      </c>
      <c r="C23" s="8">
        <f>SUM(C20:C22)</f>
        <v>0.18</v>
      </c>
      <c r="D23" s="8">
        <f>SUM(D20:D22)</f>
        <v>0.22999999999999998</v>
      </c>
      <c r="E23" s="8">
        <f>SUM(E20:E22)</f>
        <v>0.38</v>
      </c>
      <c r="F23" s="10">
        <f>SUM(F20:F22)</f>
        <v>0.79</v>
      </c>
      <c r="G23" s="4"/>
      <c r="H23" s="1"/>
      <c r="I23" s="1"/>
      <c r="J23" s="1"/>
      <c r="K23" s="1"/>
      <c r="L23" s="1"/>
      <c r="M23" s="1"/>
      <c r="N23" s="85"/>
      <c r="O23" s="85"/>
      <c r="P23" s="85"/>
      <c r="Q23" s="85"/>
      <c r="R23" s="85"/>
      <c r="S23" s="85"/>
      <c r="T23" s="85"/>
      <c r="U23" s="85"/>
      <c r="V23" s="85"/>
      <c r="X23" t="s">
        <v>41</v>
      </c>
      <c r="Y23" t="s">
        <v>36</v>
      </c>
      <c r="Z23">
        <v>3</v>
      </c>
      <c r="AA23">
        <f>E10</f>
        <v>0.03</v>
      </c>
    </row>
    <row r="24" spans="2:27" ht="15.75" x14ac:dyDescent="0.25">
      <c r="B24" s="19" t="s">
        <v>3</v>
      </c>
      <c r="C24" s="56">
        <f>C23/9</f>
        <v>0.02</v>
      </c>
      <c r="D24" s="56">
        <f>D23/9</f>
        <v>2.5555555555555554E-2</v>
      </c>
      <c r="E24" s="56">
        <f>E23/9</f>
        <v>4.2222222222222223E-2</v>
      </c>
      <c r="F24" s="1"/>
      <c r="G24" s="1"/>
      <c r="H24" s="1"/>
      <c r="I24" s="22"/>
      <c r="J24" s="22"/>
      <c r="K24" s="22"/>
      <c r="L24" s="1"/>
      <c r="M24" s="1"/>
      <c r="N24" s="85"/>
      <c r="O24" s="85"/>
      <c r="P24" s="85"/>
      <c r="Q24" s="85"/>
      <c r="R24" s="85"/>
      <c r="S24" s="85"/>
      <c r="T24" s="85"/>
      <c r="U24" s="85"/>
      <c r="V24" s="85"/>
      <c r="X24" t="s">
        <v>41</v>
      </c>
      <c r="Y24" t="s">
        <v>37</v>
      </c>
      <c r="Z24">
        <v>1</v>
      </c>
      <c r="AA24">
        <f>C11</f>
        <v>0.01</v>
      </c>
    </row>
    <row r="25" spans="2:27" ht="15.75" x14ac:dyDescent="0.25">
      <c r="B25" s="1"/>
      <c r="C25" s="1"/>
      <c r="D25" s="1"/>
      <c r="E25" s="1"/>
      <c r="F25" s="1"/>
      <c r="G25" s="1"/>
      <c r="H25" s="1"/>
      <c r="I25" s="50"/>
      <c r="J25" s="50"/>
      <c r="K25" s="23"/>
      <c r="L25" s="1"/>
      <c r="M25" s="1"/>
      <c r="N25" s="1"/>
      <c r="O25" s="1"/>
      <c r="P25" s="1"/>
      <c r="X25" t="s">
        <v>41</v>
      </c>
      <c r="Y25" t="s">
        <v>37</v>
      </c>
      <c r="Z25">
        <v>2</v>
      </c>
      <c r="AA25">
        <f>D11</f>
        <v>0.02</v>
      </c>
    </row>
    <row r="26" spans="2:27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X26" t="s">
        <v>41</v>
      </c>
      <c r="Y26" t="s">
        <v>37</v>
      </c>
      <c r="Z26">
        <v>3</v>
      </c>
      <c r="AA26">
        <f>E11</f>
        <v>0.05</v>
      </c>
    </row>
    <row r="27" spans="2:27" x14ac:dyDescent="0.25">
      <c r="X27" t="s">
        <v>41</v>
      </c>
      <c r="Y27" t="s">
        <v>38</v>
      </c>
      <c r="Z27">
        <v>1</v>
      </c>
      <c r="AA27">
        <f>C12</f>
        <v>0.04</v>
      </c>
    </row>
    <row r="28" spans="2:27" ht="15.75" x14ac:dyDescent="0.25">
      <c r="B28" t="s">
        <v>92</v>
      </c>
      <c r="C28" t="s">
        <v>49</v>
      </c>
      <c r="D28" t="s">
        <v>94</v>
      </c>
      <c r="E28" t="s">
        <v>99</v>
      </c>
      <c r="G28" t="s">
        <v>94</v>
      </c>
      <c r="H28" t="s">
        <v>97</v>
      </c>
      <c r="I28" s="78" t="s">
        <v>103</v>
      </c>
      <c r="J28" s="78"/>
      <c r="O28" s="22"/>
      <c r="P28" s="22"/>
      <c r="Q28" s="23"/>
      <c r="R28" s="22"/>
      <c r="T28" s="41"/>
      <c r="X28" t="s">
        <v>41</v>
      </c>
      <c r="Y28" t="s">
        <v>38</v>
      </c>
      <c r="Z28">
        <v>2</v>
      </c>
      <c r="AA28">
        <f>D12</f>
        <v>0.03</v>
      </c>
    </row>
    <row r="29" spans="2:27" ht="15.75" x14ac:dyDescent="0.25">
      <c r="B29" t="s">
        <v>39</v>
      </c>
      <c r="C29" s="49">
        <f>G20</f>
        <v>2.8888888888888891E-2</v>
      </c>
      <c r="D29" s="49"/>
      <c r="E29" t="s">
        <v>41</v>
      </c>
      <c r="F29" s="49">
        <f>C31</f>
        <v>2.7777777777777776E-2</v>
      </c>
      <c r="G29" s="49">
        <f>F29+J31</f>
        <v>4.5436140460477017E-2</v>
      </c>
      <c r="H29" t="s">
        <v>59</v>
      </c>
      <c r="I29" t="s">
        <v>111</v>
      </c>
      <c r="J29">
        <f>SQRT(L18/(J3*J5))</f>
        <v>4.8379075843011628E-3</v>
      </c>
      <c r="O29" s="22"/>
      <c r="P29" s="22"/>
      <c r="Q29" s="22"/>
      <c r="R29" s="22"/>
      <c r="T29" s="41"/>
      <c r="X29" t="s">
        <v>41</v>
      </c>
      <c r="Y29" t="s">
        <v>38</v>
      </c>
      <c r="Z29">
        <v>3</v>
      </c>
      <c r="AA29">
        <f>E12</f>
        <v>0.05</v>
      </c>
    </row>
    <row r="30" spans="2:27" ht="15.75" x14ac:dyDescent="0.25">
      <c r="B30" t="s">
        <v>40</v>
      </c>
      <c r="C30" s="49">
        <f>G21</f>
        <v>3.1111111111111114E-2</v>
      </c>
      <c r="E30" t="s">
        <v>39</v>
      </c>
      <c r="F30" s="49">
        <f>C29</f>
        <v>2.8888888888888891E-2</v>
      </c>
      <c r="H30" t="s">
        <v>59</v>
      </c>
      <c r="I30" s="41" t="s">
        <v>42</v>
      </c>
      <c r="J30">
        <v>3.65</v>
      </c>
      <c r="O30" s="22"/>
      <c r="P30" s="22"/>
      <c r="Q30" s="22"/>
      <c r="R30" s="22"/>
      <c r="T30" s="41"/>
    </row>
    <row r="31" spans="2:27" x14ac:dyDescent="0.25">
      <c r="B31" t="s">
        <v>41</v>
      </c>
      <c r="C31" s="49">
        <f>G22</f>
        <v>2.7777777777777776E-2</v>
      </c>
      <c r="E31" t="s">
        <v>40</v>
      </c>
      <c r="F31" s="49">
        <f>C30</f>
        <v>3.1111111111111114E-2</v>
      </c>
      <c r="H31" t="s">
        <v>59</v>
      </c>
      <c r="I31" s="41" t="s">
        <v>43</v>
      </c>
      <c r="J31">
        <f>J29*J30</f>
        <v>1.7658362682699245E-2</v>
      </c>
      <c r="T31" s="41"/>
    </row>
    <row r="32" spans="2:27" ht="15.75" x14ac:dyDescent="0.25">
      <c r="B32" s="86" t="s">
        <v>115</v>
      </c>
      <c r="C32" s="86"/>
      <c r="D32" s="86"/>
      <c r="E32" s="86"/>
      <c r="F32" s="86"/>
      <c r="G32" s="86"/>
      <c r="H32" s="86"/>
      <c r="O32" s="22"/>
      <c r="P32" s="22"/>
      <c r="Q32" s="22"/>
      <c r="R32" s="22"/>
      <c r="T32" s="41"/>
    </row>
    <row r="33" spans="2:20" ht="15.75" x14ac:dyDescent="0.25">
      <c r="O33" s="22"/>
      <c r="P33" s="22"/>
      <c r="Q33" s="22"/>
      <c r="R33" s="22"/>
      <c r="T33" s="41"/>
    </row>
    <row r="34" spans="2:20" ht="15.75" x14ac:dyDescent="0.25">
      <c r="O34" s="22"/>
      <c r="P34" s="22"/>
      <c r="Q34" s="22"/>
      <c r="R34" s="22"/>
      <c r="T34" s="41"/>
    </row>
    <row r="35" spans="2:20" ht="14.45" customHeight="1" x14ac:dyDescent="0.25">
      <c r="B35" t="s">
        <v>0</v>
      </c>
      <c r="C35" t="s">
        <v>49</v>
      </c>
      <c r="D35" t="s">
        <v>94</v>
      </c>
      <c r="E35" t="s">
        <v>95</v>
      </c>
      <c r="F35" s="78" t="s">
        <v>104</v>
      </c>
      <c r="G35" s="78"/>
      <c r="T35" s="41"/>
    </row>
    <row r="36" spans="2:20" ht="15.75" x14ac:dyDescent="0.25">
      <c r="B36" t="s">
        <v>36</v>
      </c>
      <c r="C36" s="49">
        <f>C24</f>
        <v>0.02</v>
      </c>
      <c r="D36" s="49">
        <f>C36+G38</f>
        <v>3.7658362682699245E-2</v>
      </c>
      <c r="E36" t="s">
        <v>59</v>
      </c>
      <c r="F36" t="s">
        <v>111</v>
      </c>
      <c r="G36" s="49">
        <f>SQRT(L18/(J4*J5))</f>
        <v>4.8379075843011628E-3</v>
      </c>
      <c r="H36" s="49"/>
      <c r="O36" s="22"/>
      <c r="P36" s="22"/>
      <c r="Q36" s="22"/>
      <c r="R36" s="22"/>
      <c r="T36" s="41"/>
    </row>
    <row r="37" spans="2:20" ht="15.75" x14ac:dyDescent="0.25">
      <c r="B37" t="s">
        <v>37</v>
      </c>
      <c r="C37" s="49">
        <f>D24</f>
        <v>2.5555555555555554E-2</v>
      </c>
      <c r="D37" s="49">
        <f>C37+G38</f>
        <v>4.3213918238254795E-2</v>
      </c>
      <c r="E37" t="s">
        <v>57</v>
      </c>
      <c r="F37" t="s">
        <v>93</v>
      </c>
      <c r="G37">
        <v>3.65</v>
      </c>
      <c r="H37" s="49"/>
      <c r="O37" s="22"/>
      <c r="P37" s="22"/>
      <c r="Q37" s="23"/>
      <c r="R37" s="22"/>
    </row>
    <row r="38" spans="2:20" ht="15.75" x14ac:dyDescent="0.25">
      <c r="B38" t="s">
        <v>38</v>
      </c>
      <c r="C38" s="49">
        <f>E24</f>
        <v>4.2222222222222223E-2</v>
      </c>
      <c r="E38" t="s">
        <v>61</v>
      </c>
      <c r="F38" t="s">
        <v>43</v>
      </c>
      <c r="G38" s="49">
        <f>G36*G37</f>
        <v>1.7658362682699245E-2</v>
      </c>
      <c r="H38" s="41"/>
      <c r="O38" s="22"/>
      <c r="P38" s="22"/>
      <c r="Q38" s="22"/>
      <c r="R38" s="22"/>
    </row>
    <row r="39" spans="2:20" x14ac:dyDescent="0.25">
      <c r="B39" s="87" t="s">
        <v>116</v>
      </c>
      <c r="C39" s="87"/>
      <c r="D39" s="87"/>
      <c r="E39" s="87"/>
      <c r="F39" s="87"/>
      <c r="G39" s="87"/>
      <c r="H39" s="41"/>
      <c r="I39" s="49"/>
    </row>
    <row r="40" spans="2:20" x14ac:dyDescent="0.25">
      <c r="B40" s="87"/>
      <c r="C40" s="87"/>
      <c r="D40" s="87"/>
      <c r="E40" s="87"/>
      <c r="F40" s="87"/>
      <c r="G40" s="87"/>
      <c r="H40" s="41"/>
    </row>
    <row r="42" spans="2:20" ht="14.45" customHeight="1" x14ac:dyDescent="0.25">
      <c r="B42" t="s">
        <v>0</v>
      </c>
      <c r="C42" t="s">
        <v>49</v>
      </c>
      <c r="E42" s="55" t="s">
        <v>96</v>
      </c>
      <c r="G42" t="s">
        <v>94</v>
      </c>
      <c r="H42" t="s">
        <v>95</v>
      </c>
      <c r="I42" s="78" t="s">
        <v>105</v>
      </c>
      <c r="J42" s="78"/>
    </row>
    <row r="43" spans="2:20" x14ac:dyDescent="0.25">
      <c r="B43" t="s">
        <v>8</v>
      </c>
      <c r="C43" s="49">
        <f t="shared" ref="C43:C51" si="4">G4</f>
        <v>0.02</v>
      </c>
      <c r="E43" t="s">
        <v>17</v>
      </c>
      <c r="F43" s="49">
        <f>C49</f>
        <v>1.6666666666666666E-2</v>
      </c>
      <c r="G43" s="49">
        <f>F43+J45</f>
        <v>5.4877194593462519E-2</v>
      </c>
      <c r="H43" t="s">
        <v>59</v>
      </c>
      <c r="I43" t="s">
        <v>111</v>
      </c>
      <c r="J43">
        <f>SQRT(L18/3)</f>
        <v>8.3795017383324257E-3</v>
      </c>
    </row>
    <row r="44" spans="2:20" x14ac:dyDescent="0.25">
      <c r="B44" t="s">
        <v>10</v>
      </c>
      <c r="C44" s="49">
        <f t="shared" si="4"/>
        <v>0.03</v>
      </c>
      <c r="E44" t="s">
        <v>8</v>
      </c>
      <c r="F44" s="49">
        <f>C43</f>
        <v>0.02</v>
      </c>
      <c r="G44" s="49"/>
      <c r="H44" t="s">
        <v>59</v>
      </c>
      <c r="I44" s="49" t="s">
        <v>101</v>
      </c>
      <c r="J44" s="41">
        <v>4.5599999999999996</v>
      </c>
    </row>
    <row r="45" spans="2:20" x14ac:dyDescent="0.25">
      <c r="B45" t="s">
        <v>12</v>
      </c>
      <c r="C45" s="49">
        <f t="shared" si="4"/>
        <v>3.6666666666666667E-2</v>
      </c>
      <c r="E45" t="s">
        <v>15</v>
      </c>
      <c r="F45" s="49">
        <f>C47</f>
        <v>0.02</v>
      </c>
      <c r="G45" s="49"/>
      <c r="H45" s="41" t="s">
        <v>59</v>
      </c>
      <c r="I45" s="49" t="s">
        <v>102</v>
      </c>
      <c r="J45">
        <f>J43*J44</f>
        <v>3.8210527926795856E-2</v>
      </c>
    </row>
    <row r="46" spans="2:20" x14ac:dyDescent="0.25">
      <c r="B46" t="s">
        <v>13</v>
      </c>
      <c r="C46" s="49">
        <f t="shared" si="4"/>
        <v>2.3333333333333334E-2</v>
      </c>
      <c r="E46" t="s">
        <v>13</v>
      </c>
      <c r="F46" s="49">
        <f>C46</f>
        <v>2.3333333333333334E-2</v>
      </c>
      <c r="G46" s="49"/>
      <c r="H46" t="s">
        <v>59</v>
      </c>
      <c r="I46" s="49"/>
    </row>
    <row r="47" spans="2:20" x14ac:dyDescent="0.25">
      <c r="B47" t="s">
        <v>15</v>
      </c>
      <c r="C47" s="49">
        <f t="shared" si="4"/>
        <v>0.02</v>
      </c>
      <c r="E47" t="s">
        <v>18</v>
      </c>
      <c r="F47" s="49">
        <f>C50</f>
        <v>2.6666666666666668E-2</v>
      </c>
      <c r="G47" s="49"/>
      <c r="H47" t="s">
        <v>59</v>
      </c>
      <c r="I47" s="49"/>
    </row>
    <row r="48" spans="2:20" x14ac:dyDescent="0.25">
      <c r="B48" t="s">
        <v>16</v>
      </c>
      <c r="C48" s="49">
        <f t="shared" si="4"/>
        <v>5.000000000000001E-2</v>
      </c>
      <c r="E48" t="s">
        <v>10</v>
      </c>
      <c r="F48" s="49">
        <f>C44</f>
        <v>0.03</v>
      </c>
      <c r="G48" s="49"/>
      <c r="H48" t="s">
        <v>59</v>
      </c>
      <c r="I48" s="49"/>
    </row>
    <row r="49" spans="2:9" x14ac:dyDescent="0.25">
      <c r="B49" t="s">
        <v>17</v>
      </c>
      <c r="C49" s="49">
        <f t="shared" si="4"/>
        <v>1.6666666666666666E-2</v>
      </c>
      <c r="E49" t="s">
        <v>12</v>
      </c>
      <c r="F49" s="49">
        <f>C45</f>
        <v>3.6666666666666667E-2</v>
      </c>
      <c r="G49" s="49"/>
      <c r="H49" t="s">
        <v>59</v>
      </c>
      <c r="I49" s="49"/>
    </row>
    <row r="50" spans="2:9" x14ac:dyDescent="0.25">
      <c r="B50" t="s">
        <v>18</v>
      </c>
      <c r="C50" s="49">
        <f t="shared" si="4"/>
        <v>2.6666666666666668E-2</v>
      </c>
      <c r="E50" t="s">
        <v>26</v>
      </c>
      <c r="F50" s="49">
        <f>C51</f>
        <v>0.04</v>
      </c>
      <c r="H50" t="s">
        <v>59</v>
      </c>
      <c r="I50" s="49"/>
    </row>
    <row r="51" spans="2:9" x14ac:dyDescent="0.25">
      <c r="B51" t="s">
        <v>26</v>
      </c>
      <c r="C51" s="49">
        <f t="shared" si="4"/>
        <v>0.04</v>
      </c>
      <c r="E51" t="s">
        <v>16</v>
      </c>
      <c r="F51" s="49">
        <f>C48</f>
        <v>5.000000000000001E-2</v>
      </c>
      <c r="H51" t="s">
        <v>59</v>
      </c>
      <c r="I51" s="49"/>
    </row>
    <row r="52" spans="2:9" x14ac:dyDescent="0.25">
      <c r="I52" s="49"/>
    </row>
  </sheetData>
  <sortState xmlns:xlrd2="http://schemas.microsoft.com/office/spreadsheetml/2017/richdata2" ref="E43:I51">
    <sortCondition ref="I43"/>
  </sortState>
  <mergeCells count="21">
    <mergeCell ref="N21:V24"/>
    <mergeCell ref="B32:H32"/>
    <mergeCell ref="B39:G40"/>
    <mergeCell ref="L11:L12"/>
    <mergeCell ref="M11:M12"/>
    <mergeCell ref="N11:O11"/>
    <mergeCell ref="P11:P12"/>
    <mergeCell ref="I28:J28"/>
    <mergeCell ref="F35:G35"/>
    <mergeCell ref="B2:B3"/>
    <mergeCell ref="C2:E2"/>
    <mergeCell ref="F2:F3"/>
    <mergeCell ref="G2:G3"/>
    <mergeCell ref="K11:K12"/>
    <mergeCell ref="I11:I12"/>
    <mergeCell ref="J11:J12"/>
    <mergeCell ref="I42:J42"/>
    <mergeCell ref="B18:B19"/>
    <mergeCell ref="C18:E18"/>
    <mergeCell ref="F18:F19"/>
    <mergeCell ref="G18:G1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B51"/>
  <sheetViews>
    <sheetView topLeftCell="B24" zoomScale="78" zoomScaleNormal="78" workbookViewId="0">
      <selection activeCell="O21" sqref="O21:W24"/>
    </sheetView>
  </sheetViews>
  <sheetFormatPr defaultRowHeight="15" x14ac:dyDescent="0.25"/>
  <cols>
    <col min="3" max="3" width="18.140625" customWidth="1"/>
    <col min="6" max="6" width="12.85546875" customWidth="1"/>
    <col min="7" max="7" width="13.7109375" customWidth="1"/>
    <col min="8" max="8" width="14.5703125" customWidth="1"/>
    <col min="9" max="9" width="13.140625" customWidth="1"/>
    <col min="10" max="10" width="13.85546875" customWidth="1"/>
    <col min="11" max="11" width="15" customWidth="1"/>
    <col min="12" max="12" width="12.28515625" customWidth="1"/>
  </cols>
  <sheetData>
    <row r="2" spans="2:28" ht="15.75" x14ac:dyDescent="0.25">
      <c r="B2" s="21"/>
      <c r="C2" s="2" t="s">
        <v>0</v>
      </c>
      <c r="D2" s="2" t="s">
        <v>1</v>
      </c>
      <c r="E2" s="2"/>
      <c r="F2" s="2"/>
      <c r="G2" s="77" t="s">
        <v>2</v>
      </c>
      <c r="H2" s="77" t="s">
        <v>3</v>
      </c>
      <c r="I2" s="88" t="s">
        <v>76</v>
      </c>
      <c r="J2" s="1"/>
      <c r="K2" s="1"/>
      <c r="L2" s="1"/>
      <c r="M2" s="1"/>
      <c r="N2" s="1"/>
      <c r="O2" s="1"/>
      <c r="P2" s="1"/>
      <c r="Q2" s="1"/>
      <c r="Y2" t="s">
        <v>90</v>
      </c>
      <c r="Z2" t="s">
        <v>91</v>
      </c>
      <c r="AA2" t="s">
        <v>62</v>
      </c>
      <c r="AB2" t="s">
        <v>54</v>
      </c>
    </row>
    <row r="3" spans="2:28" ht="15.75" x14ac:dyDescent="0.25">
      <c r="B3" s="21"/>
      <c r="C3" s="2"/>
      <c r="D3" s="2" t="s">
        <v>4</v>
      </c>
      <c r="E3" s="2" t="s">
        <v>5</v>
      </c>
      <c r="F3" s="2" t="s">
        <v>6</v>
      </c>
      <c r="G3" s="77"/>
      <c r="H3" s="77"/>
      <c r="I3" s="88"/>
      <c r="J3" s="3" t="s">
        <v>7</v>
      </c>
      <c r="K3" s="1">
        <v>3</v>
      </c>
      <c r="L3" s="1"/>
      <c r="M3" s="1"/>
      <c r="N3" s="1"/>
      <c r="O3" s="1"/>
      <c r="P3" s="1"/>
      <c r="Q3" s="1"/>
      <c r="Y3" t="s">
        <v>39</v>
      </c>
      <c r="Z3" t="s">
        <v>36</v>
      </c>
      <c r="AA3">
        <v>1</v>
      </c>
      <c r="AB3">
        <f>D4</f>
        <v>4.41</v>
      </c>
    </row>
    <row r="4" spans="2:28" ht="15.75" x14ac:dyDescent="0.25">
      <c r="B4" s="21"/>
      <c r="C4" s="4" t="s">
        <v>79</v>
      </c>
      <c r="D4" s="4">
        <v>4.41</v>
      </c>
      <c r="E4" s="4">
        <v>4.32</v>
      </c>
      <c r="F4" s="4">
        <v>5.03</v>
      </c>
      <c r="G4" s="4">
        <f>SUM(D4:F4)</f>
        <v>13.760000000000002</v>
      </c>
      <c r="H4" s="5">
        <f>AVERAGE(D4:F4)</f>
        <v>4.5866666666666669</v>
      </c>
      <c r="I4" s="6">
        <f>STDEV(D4:F4)</f>
        <v>0.38656607887052552</v>
      </c>
      <c r="J4" s="3" t="s">
        <v>9</v>
      </c>
      <c r="K4" s="1">
        <v>3</v>
      </c>
      <c r="L4" s="1"/>
      <c r="M4" s="1"/>
      <c r="N4" s="1"/>
      <c r="O4" s="1"/>
      <c r="P4" s="1"/>
      <c r="Q4" s="1"/>
      <c r="Y4" t="s">
        <v>39</v>
      </c>
      <c r="Z4" t="s">
        <v>36</v>
      </c>
      <c r="AA4">
        <v>2</v>
      </c>
      <c r="AB4">
        <f>E4</f>
        <v>4.32</v>
      </c>
    </row>
    <row r="5" spans="2:28" ht="15.75" x14ac:dyDescent="0.25">
      <c r="B5" s="21"/>
      <c r="C5" s="8" t="s">
        <v>80</v>
      </c>
      <c r="D5" s="8">
        <v>6.28</v>
      </c>
      <c r="E5" s="8">
        <v>5.15</v>
      </c>
      <c r="F5" s="8">
        <v>6.04</v>
      </c>
      <c r="G5" s="4">
        <f t="shared" ref="G5:G12" si="0">SUM(D5:F5)</f>
        <v>17.47</v>
      </c>
      <c r="H5" s="5">
        <f t="shared" ref="H5:H12" si="1">AVERAGE(D5:F5)</f>
        <v>5.8233333333333333</v>
      </c>
      <c r="I5" s="6">
        <f t="shared" ref="I5:I12" si="2">STDEV(D5:F5)</f>
        <v>0.59534303836807667</v>
      </c>
      <c r="J5" s="3" t="s">
        <v>11</v>
      </c>
      <c r="K5" s="1">
        <v>3</v>
      </c>
      <c r="L5" s="1"/>
      <c r="M5" s="1"/>
      <c r="N5" s="1"/>
      <c r="O5" s="1"/>
      <c r="P5" s="1"/>
      <c r="Q5" s="1"/>
      <c r="Y5" t="s">
        <v>39</v>
      </c>
      <c r="Z5" t="s">
        <v>36</v>
      </c>
      <c r="AA5">
        <v>3</v>
      </c>
      <c r="AB5">
        <f>F4</f>
        <v>5.03</v>
      </c>
    </row>
    <row r="6" spans="2:28" ht="15.75" x14ac:dyDescent="0.25">
      <c r="B6" s="21"/>
      <c r="C6" s="8" t="s">
        <v>87</v>
      </c>
      <c r="D6" s="8">
        <v>7.15</v>
      </c>
      <c r="E6" s="8">
        <v>8.25</v>
      </c>
      <c r="F6" s="8">
        <v>8.16</v>
      </c>
      <c r="G6" s="4">
        <f t="shared" si="0"/>
        <v>23.560000000000002</v>
      </c>
      <c r="H6" s="5">
        <f t="shared" si="1"/>
        <v>7.8533333333333344</v>
      </c>
      <c r="I6" s="6">
        <f t="shared" si="2"/>
        <v>0.61076454819622039</v>
      </c>
      <c r="J6" s="1"/>
      <c r="K6" s="1"/>
      <c r="L6" s="1"/>
      <c r="M6" s="1"/>
      <c r="N6" s="1"/>
      <c r="O6" s="1"/>
      <c r="P6" s="1"/>
      <c r="Q6" s="1"/>
      <c r="Y6" t="s">
        <v>39</v>
      </c>
      <c r="Z6" t="s">
        <v>37</v>
      </c>
      <c r="AA6">
        <v>1</v>
      </c>
      <c r="AB6">
        <f>D5</f>
        <v>6.28</v>
      </c>
    </row>
    <row r="7" spans="2:28" ht="15.75" x14ac:dyDescent="0.25">
      <c r="B7" s="21"/>
      <c r="C7" s="8" t="s">
        <v>81</v>
      </c>
      <c r="D7" s="8">
        <v>4.21</v>
      </c>
      <c r="E7" s="8">
        <v>4.0199999999999996</v>
      </c>
      <c r="F7" s="8">
        <v>5.83</v>
      </c>
      <c r="G7" s="4">
        <f t="shared" si="0"/>
        <v>14.06</v>
      </c>
      <c r="H7" s="5">
        <f t="shared" si="1"/>
        <v>4.6866666666666665</v>
      </c>
      <c r="I7" s="6">
        <f t="shared" si="2"/>
        <v>0.99470263563204186</v>
      </c>
      <c r="J7" s="1" t="s">
        <v>14</v>
      </c>
      <c r="K7" s="7">
        <f>(G13^2)/(K3*K4*K5)</f>
        <v>924.7096333333335</v>
      </c>
      <c r="L7" s="1"/>
      <c r="M7" s="1"/>
      <c r="N7" s="1"/>
      <c r="O7" s="1"/>
      <c r="P7" s="1"/>
      <c r="Q7" s="1"/>
      <c r="Y7" t="s">
        <v>39</v>
      </c>
      <c r="Z7" t="s">
        <v>37</v>
      </c>
      <c r="AA7">
        <v>2</v>
      </c>
      <c r="AB7">
        <f>E5</f>
        <v>5.15</v>
      </c>
    </row>
    <row r="8" spans="2:28" ht="15.75" x14ac:dyDescent="0.25">
      <c r="B8" s="21"/>
      <c r="C8" s="8" t="s">
        <v>82</v>
      </c>
      <c r="D8" s="8">
        <v>4.03</v>
      </c>
      <c r="E8" s="8">
        <v>6.35</v>
      </c>
      <c r="F8" s="8">
        <v>6.78</v>
      </c>
      <c r="G8" s="4">
        <f t="shared" si="0"/>
        <v>17.16</v>
      </c>
      <c r="H8" s="5">
        <f t="shared" si="1"/>
        <v>5.72</v>
      </c>
      <c r="I8" s="6">
        <f t="shared" si="2"/>
        <v>1.4792903704141407</v>
      </c>
      <c r="J8" s="1"/>
      <c r="K8" s="1"/>
      <c r="L8" s="1"/>
      <c r="M8" s="1"/>
      <c r="N8" s="1"/>
      <c r="O8" s="1"/>
      <c r="P8" s="1"/>
      <c r="Q8" s="1"/>
      <c r="Y8" t="s">
        <v>39</v>
      </c>
      <c r="Z8" t="s">
        <v>37</v>
      </c>
      <c r="AA8">
        <v>3</v>
      </c>
      <c r="AB8">
        <f>F5</f>
        <v>6.04</v>
      </c>
    </row>
    <row r="9" spans="2:28" ht="15.75" x14ac:dyDescent="0.25">
      <c r="B9" s="21"/>
      <c r="C9" s="8" t="s">
        <v>83</v>
      </c>
      <c r="D9" s="8">
        <v>7.47</v>
      </c>
      <c r="E9" s="8">
        <v>8.24</v>
      </c>
      <c r="F9" s="8">
        <v>7.59</v>
      </c>
      <c r="G9" s="4">
        <f t="shared" si="0"/>
        <v>23.3</v>
      </c>
      <c r="H9" s="5">
        <f t="shared" si="1"/>
        <v>7.7666666666666666</v>
      </c>
      <c r="I9" s="6">
        <f t="shared" si="2"/>
        <v>0.41428653530296339</v>
      </c>
      <c r="J9" s="1"/>
      <c r="K9" s="1"/>
      <c r="L9" s="1"/>
      <c r="M9" s="1"/>
      <c r="N9" s="1"/>
      <c r="O9" s="1"/>
      <c r="P9" s="1"/>
      <c r="Q9" s="1"/>
      <c r="Y9" t="s">
        <v>39</v>
      </c>
      <c r="Z9" t="s">
        <v>38</v>
      </c>
      <c r="AA9">
        <v>1</v>
      </c>
      <c r="AB9">
        <f>D6</f>
        <v>7.15</v>
      </c>
    </row>
    <row r="10" spans="2:28" ht="15.75" x14ac:dyDescent="0.25">
      <c r="B10" s="21"/>
      <c r="C10" s="4" t="s">
        <v>84</v>
      </c>
      <c r="D10" s="4">
        <v>5.28</v>
      </c>
      <c r="E10" s="4">
        <v>3.13</v>
      </c>
      <c r="F10" s="4">
        <v>3.8</v>
      </c>
      <c r="G10" s="4">
        <f t="shared" si="0"/>
        <v>12.21</v>
      </c>
      <c r="H10" s="5">
        <f t="shared" si="1"/>
        <v>4.07</v>
      </c>
      <c r="I10" s="6">
        <f t="shared" si="2"/>
        <v>1.1001363551851167</v>
      </c>
      <c r="J10" s="1"/>
      <c r="K10" s="1"/>
      <c r="L10" s="1"/>
      <c r="M10" s="1"/>
      <c r="N10" s="1"/>
      <c r="O10" s="1"/>
      <c r="P10" s="1"/>
      <c r="Q10" s="1"/>
      <c r="Y10" t="s">
        <v>39</v>
      </c>
      <c r="Z10" t="s">
        <v>38</v>
      </c>
      <c r="AA10">
        <v>2</v>
      </c>
      <c r="AB10">
        <f>E6</f>
        <v>8.25</v>
      </c>
    </row>
    <row r="11" spans="2:28" ht="15.75" x14ac:dyDescent="0.25">
      <c r="B11" s="21"/>
      <c r="C11" s="4" t="s">
        <v>85</v>
      </c>
      <c r="D11" s="4">
        <v>5.5</v>
      </c>
      <c r="E11" s="4">
        <v>5.09</v>
      </c>
      <c r="F11" s="4">
        <v>4.12</v>
      </c>
      <c r="G11" s="4">
        <f t="shared" si="0"/>
        <v>14.71</v>
      </c>
      <c r="H11" s="5">
        <f t="shared" si="1"/>
        <v>4.9033333333333333</v>
      </c>
      <c r="I11" s="6">
        <f t="shared" si="2"/>
        <v>0.70868422681285159</v>
      </c>
      <c r="J11" s="75" t="s">
        <v>19</v>
      </c>
      <c r="K11" s="75" t="s">
        <v>20</v>
      </c>
      <c r="L11" s="75" t="s">
        <v>21</v>
      </c>
      <c r="M11" s="75" t="s">
        <v>22</v>
      </c>
      <c r="N11" s="75" t="s">
        <v>23</v>
      </c>
      <c r="O11" s="75" t="s">
        <v>24</v>
      </c>
      <c r="P11" s="75"/>
      <c r="Q11" s="75" t="s">
        <v>25</v>
      </c>
      <c r="Y11" t="s">
        <v>39</v>
      </c>
      <c r="Z11" t="s">
        <v>38</v>
      </c>
      <c r="AA11">
        <v>3</v>
      </c>
      <c r="AB11">
        <f>F6</f>
        <v>8.16</v>
      </c>
    </row>
    <row r="12" spans="2:28" ht="15.75" x14ac:dyDescent="0.25">
      <c r="B12" s="21"/>
      <c r="C12" s="4" t="s">
        <v>86</v>
      </c>
      <c r="D12" s="4">
        <v>6.03</v>
      </c>
      <c r="E12" s="4">
        <v>7.75</v>
      </c>
      <c r="F12" s="4">
        <v>8</v>
      </c>
      <c r="G12" s="4">
        <f t="shared" si="0"/>
        <v>21.78</v>
      </c>
      <c r="H12" s="5">
        <f t="shared" si="1"/>
        <v>7.2600000000000007</v>
      </c>
      <c r="I12" s="6">
        <f t="shared" si="2"/>
        <v>1.0725203960764575</v>
      </c>
      <c r="J12" s="76"/>
      <c r="K12" s="76"/>
      <c r="L12" s="76"/>
      <c r="M12" s="76"/>
      <c r="N12" s="76"/>
      <c r="O12" s="9">
        <v>0.05</v>
      </c>
      <c r="P12" s="9">
        <v>0.01</v>
      </c>
      <c r="Q12" s="76"/>
      <c r="Y12" t="s">
        <v>40</v>
      </c>
      <c r="Z12" t="s">
        <v>36</v>
      </c>
      <c r="AA12">
        <v>1</v>
      </c>
      <c r="AB12">
        <f>D7</f>
        <v>4.21</v>
      </c>
    </row>
    <row r="13" spans="2:28" ht="15.75" x14ac:dyDescent="0.25">
      <c r="B13" s="21"/>
      <c r="C13" s="2" t="s">
        <v>2</v>
      </c>
      <c r="D13" s="4">
        <f>SUM(D4:D12)</f>
        <v>50.360000000000007</v>
      </c>
      <c r="E13" s="4">
        <f>SUM(E4:E12)</f>
        <v>52.3</v>
      </c>
      <c r="F13" s="4">
        <f>SUM(F4:F12)</f>
        <v>55.35</v>
      </c>
      <c r="G13" s="10">
        <f>SUM(G4:G12)</f>
        <v>158.01000000000002</v>
      </c>
      <c r="H13" s="11"/>
      <c r="I13" s="1"/>
      <c r="J13" s="1" t="s">
        <v>27</v>
      </c>
      <c r="K13" s="1">
        <f>(K5-1)</f>
        <v>2</v>
      </c>
      <c r="L13" s="6">
        <f>SUMSQ(D13:F13)/(K3*K4)-K7</f>
        <v>1.406155555555415</v>
      </c>
      <c r="M13" s="6">
        <f>L13/K13</f>
        <v>0.70307777777770752</v>
      </c>
      <c r="N13" s="13">
        <f>M13/M18</f>
        <v>0.88077085022486079</v>
      </c>
      <c r="O13" s="13">
        <f>FINV(O12,K13,K18)</f>
        <v>3.6337234675916301</v>
      </c>
      <c r="P13" s="13">
        <f>FINV(P12,K13,K18)</f>
        <v>6.2262352803113821</v>
      </c>
      <c r="Q13" s="1" t="str">
        <f>IF(N13&lt;O13,"tn",IF(N13&lt;P13,"*","**"))</f>
        <v>tn</v>
      </c>
      <c r="S13" t="s">
        <v>25</v>
      </c>
      <c r="T13" t="s">
        <v>28</v>
      </c>
      <c r="U13" t="s">
        <v>29</v>
      </c>
      <c r="Y13" t="s">
        <v>40</v>
      </c>
      <c r="Z13" t="s">
        <v>36</v>
      </c>
      <c r="AA13">
        <v>2</v>
      </c>
      <c r="AB13">
        <f>E7</f>
        <v>4.0199999999999996</v>
      </c>
    </row>
    <row r="14" spans="2:28" ht="15.75" x14ac:dyDescent="0.25">
      <c r="B14" s="21"/>
      <c r="C14" s="1"/>
      <c r="D14" s="1"/>
      <c r="E14" s="1"/>
      <c r="F14" s="1"/>
      <c r="G14" s="1"/>
      <c r="H14" s="1"/>
      <c r="I14" s="1"/>
      <c r="J14" s="1" t="s">
        <v>0</v>
      </c>
      <c r="K14" s="1">
        <f>(K3*K4-1)</f>
        <v>8</v>
      </c>
      <c r="L14" s="6">
        <f>SUMSQ(G4:G12)/K5-K7</f>
        <v>50.11966666666649</v>
      </c>
      <c r="M14" s="6">
        <f>L14/K14</f>
        <v>6.2649583333333112</v>
      </c>
      <c r="N14" s="13">
        <f>M14/M18</f>
        <v>7.8483389068484168</v>
      </c>
      <c r="O14" s="13">
        <f>FINV(O12,K14,K18)</f>
        <v>2.5910961798744014</v>
      </c>
      <c r="P14" s="13">
        <f>FINV(P12,K14,K18)</f>
        <v>3.8895721399261927</v>
      </c>
      <c r="Q14" s="1" t="str">
        <f>IF(N14&lt;O14,"tn",IF(N14&lt;P14,"*","**"))</f>
        <v>**</v>
      </c>
      <c r="T14" t="s">
        <v>30</v>
      </c>
      <c r="U14" t="s">
        <v>31</v>
      </c>
      <c r="Y14" t="s">
        <v>40</v>
      </c>
      <c r="Z14" t="s">
        <v>36</v>
      </c>
      <c r="AA14">
        <v>3</v>
      </c>
      <c r="AB14">
        <f>F7</f>
        <v>5.83</v>
      </c>
    </row>
    <row r="15" spans="2:28" ht="15.75" x14ac:dyDescent="0.25">
      <c r="B15" s="21"/>
      <c r="C15" s="1"/>
      <c r="D15" s="1"/>
      <c r="E15" s="1"/>
      <c r="F15" s="1"/>
      <c r="G15" s="1"/>
      <c r="H15" s="1"/>
      <c r="I15" s="1"/>
      <c r="J15" s="24" t="s">
        <v>7</v>
      </c>
      <c r="K15" s="1">
        <f>(K3-1)</f>
        <v>2</v>
      </c>
      <c r="L15" s="6">
        <f>SUMSQ(G20:G22)/(K3*K5)-K7</f>
        <v>2.6308666666665204</v>
      </c>
      <c r="M15" s="6">
        <f t="shared" ref="M15:M18" si="3">L15/K15</f>
        <v>1.3154333333332602</v>
      </c>
      <c r="N15" s="13">
        <f>M15/M18</f>
        <v>1.6478907057426184</v>
      </c>
      <c r="O15" s="13">
        <f>FINV(O12,K15,K18)</f>
        <v>3.6337234675916301</v>
      </c>
      <c r="P15" s="13">
        <f>FINV(P12,K15,K18)</f>
        <v>6.2262352803113821</v>
      </c>
      <c r="Q15" s="1" t="str">
        <f>IF(N15&lt;O15,"tn",IF(N15&lt;P15,"*","**"))</f>
        <v>tn</v>
      </c>
      <c r="T15" t="s">
        <v>32</v>
      </c>
      <c r="U15" t="s">
        <v>33</v>
      </c>
      <c r="Y15" t="s">
        <v>40</v>
      </c>
      <c r="Z15" t="s">
        <v>37</v>
      </c>
      <c r="AA15">
        <v>1</v>
      </c>
      <c r="AB15">
        <f>D8</f>
        <v>4.03</v>
      </c>
    </row>
    <row r="16" spans="2:28" ht="15.75" x14ac:dyDescent="0.25">
      <c r="B16" s="21"/>
      <c r="C16" s="1"/>
      <c r="D16" s="1"/>
      <c r="E16" s="1"/>
      <c r="F16" s="1"/>
      <c r="G16" s="1"/>
      <c r="H16" s="1"/>
      <c r="I16" s="1"/>
      <c r="J16" s="24" t="s">
        <v>9</v>
      </c>
      <c r="K16" s="1">
        <f>(K4-1)</f>
        <v>2</v>
      </c>
      <c r="L16" s="6">
        <f>SUMSQ(D23:F23)/(K4*K5)-K7</f>
        <v>47.322155555555355</v>
      </c>
      <c r="M16" s="6">
        <f t="shared" si="3"/>
        <v>23.661077777777678</v>
      </c>
      <c r="N16" s="13">
        <f>M16/M18</f>
        <v>29.641084173419564</v>
      </c>
      <c r="O16" s="13">
        <f>FINV(O12,K16,K18)</f>
        <v>3.6337234675916301</v>
      </c>
      <c r="P16" s="13">
        <f>FINV(P12,K16,K18)</f>
        <v>6.2262352803113821</v>
      </c>
      <c r="Q16" s="1" t="str">
        <f>IF(N16&lt;O16,"tn",IF(N16&lt;P16,"*","**"))</f>
        <v>**</v>
      </c>
      <c r="Y16" t="s">
        <v>40</v>
      </c>
      <c r="Z16" t="s">
        <v>37</v>
      </c>
      <c r="AA16">
        <v>2</v>
      </c>
      <c r="AB16">
        <f>E8</f>
        <v>6.35</v>
      </c>
    </row>
    <row r="17" spans="2:28" ht="15.75" x14ac:dyDescent="0.25">
      <c r="B17" s="21"/>
      <c r="C17" s="1"/>
      <c r="D17" s="1"/>
      <c r="E17" s="1" t="s">
        <v>34</v>
      </c>
      <c r="F17" s="1"/>
      <c r="G17" s="1"/>
      <c r="H17" s="1"/>
      <c r="I17" s="1"/>
      <c r="J17" s="24" t="s">
        <v>44</v>
      </c>
      <c r="K17" s="1">
        <f>(K3-1)*(K4-1)</f>
        <v>4</v>
      </c>
      <c r="L17" s="6">
        <f>L14-L15-L16</f>
        <v>0.16664444444461424</v>
      </c>
      <c r="M17" s="6">
        <f t="shared" si="3"/>
        <v>4.1661111111153559E-2</v>
      </c>
      <c r="N17" s="13">
        <f>M17/M18</f>
        <v>5.2190374115742059E-2</v>
      </c>
      <c r="O17" s="13">
        <f>FINV(O12,K17,K18)</f>
        <v>3.0069172799243447</v>
      </c>
      <c r="P17" s="13">
        <f>FINV(P12,K17,K18)</f>
        <v>4.772577999723211</v>
      </c>
      <c r="Q17" s="1" t="str">
        <f>IF(N17&lt;O17,"tn",IF(N17&lt;P17,"*","**"))</f>
        <v>tn</v>
      </c>
      <c r="Y17" t="s">
        <v>40</v>
      </c>
      <c r="Z17" t="s">
        <v>37</v>
      </c>
      <c r="AA17">
        <v>3</v>
      </c>
      <c r="AB17">
        <f>F8</f>
        <v>6.78</v>
      </c>
    </row>
    <row r="18" spans="2:28" ht="15.75" x14ac:dyDescent="0.25">
      <c r="B18" s="21"/>
      <c r="C18" s="79" t="s">
        <v>7</v>
      </c>
      <c r="D18" s="79" t="s">
        <v>9</v>
      </c>
      <c r="E18" s="79"/>
      <c r="F18" s="79"/>
      <c r="G18" s="80" t="s">
        <v>2</v>
      </c>
      <c r="H18" s="80" t="s">
        <v>3</v>
      </c>
      <c r="I18" s="1"/>
      <c r="J18" s="1" t="s">
        <v>35</v>
      </c>
      <c r="K18" s="1">
        <f>(K3*K4-1)*(K5-1)</f>
        <v>16</v>
      </c>
      <c r="L18" s="6">
        <f>L19-L13-L14</f>
        <v>12.772044444444759</v>
      </c>
      <c r="M18" s="6">
        <f t="shared" si="3"/>
        <v>0.79825277777779746</v>
      </c>
      <c r="N18" s="14"/>
      <c r="O18" s="14"/>
      <c r="P18" s="14"/>
      <c r="Q18" s="14"/>
      <c r="Y18" t="s">
        <v>40</v>
      </c>
      <c r="Z18" t="s">
        <v>38</v>
      </c>
      <c r="AA18">
        <v>1</v>
      </c>
      <c r="AB18">
        <f>D9</f>
        <v>7.47</v>
      </c>
    </row>
    <row r="19" spans="2:28" ht="15.75" x14ac:dyDescent="0.25">
      <c r="B19" s="21"/>
      <c r="C19" s="79"/>
      <c r="D19" s="4" t="s">
        <v>36</v>
      </c>
      <c r="E19" s="4" t="s">
        <v>37</v>
      </c>
      <c r="F19" s="4" t="s">
        <v>38</v>
      </c>
      <c r="G19" s="80"/>
      <c r="H19" s="80"/>
      <c r="I19" s="1"/>
      <c r="J19" s="15" t="s">
        <v>2</v>
      </c>
      <c r="K19" s="15">
        <f>(K3*K4*K5-1)</f>
        <v>26</v>
      </c>
      <c r="L19" s="42">
        <f>SUMSQ(D4:F12)-K7</f>
        <v>64.297866666666664</v>
      </c>
      <c r="M19" s="17"/>
      <c r="N19" s="17"/>
      <c r="O19" s="17"/>
      <c r="P19" s="17"/>
      <c r="Q19" s="17"/>
      <c r="Y19" t="s">
        <v>40</v>
      </c>
      <c r="Z19" t="s">
        <v>38</v>
      </c>
      <c r="AA19">
        <v>2</v>
      </c>
      <c r="AB19">
        <f>E9</f>
        <v>8.24</v>
      </c>
    </row>
    <row r="20" spans="2:28" ht="15.75" x14ac:dyDescent="0.25">
      <c r="B20" s="21"/>
      <c r="C20" s="4" t="s">
        <v>39</v>
      </c>
      <c r="D20" s="4">
        <f>G4</f>
        <v>13.760000000000002</v>
      </c>
      <c r="E20" s="4">
        <f>G5</f>
        <v>17.47</v>
      </c>
      <c r="F20" s="4">
        <f>G6</f>
        <v>23.560000000000002</v>
      </c>
      <c r="G20" s="8">
        <f>SUM(D20:F20)</f>
        <v>54.790000000000006</v>
      </c>
      <c r="H20" s="18">
        <f>G20/9</f>
        <v>6.0877777777777782</v>
      </c>
      <c r="I20" s="1"/>
      <c r="J20" s="1"/>
      <c r="K20" s="1"/>
      <c r="L20" s="1"/>
      <c r="M20" s="1"/>
      <c r="N20" s="1"/>
      <c r="O20" s="1"/>
      <c r="P20" s="1"/>
      <c r="Q20" s="1"/>
      <c r="Y20" t="s">
        <v>40</v>
      </c>
      <c r="Z20" t="s">
        <v>38</v>
      </c>
      <c r="AA20">
        <v>3</v>
      </c>
      <c r="AB20">
        <f>F9</f>
        <v>7.59</v>
      </c>
    </row>
    <row r="21" spans="2:28" ht="15.75" x14ac:dyDescent="0.25">
      <c r="B21" s="21"/>
      <c r="C21" s="4" t="s">
        <v>40</v>
      </c>
      <c r="D21" s="4">
        <f>G7</f>
        <v>14.06</v>
      </c>
      <c r="E21" s="4">
        <f>G8</f>
        <v>17.16</v>
      </c>
      <c r="F21" s="4">
        <f>G9</f>
        <v>23.3</v>
      </c>
      <c r="G21" s="8">
        <f>SUM(D21:F21)</f>
        <v>54.519999999999996</v>
      </c>
      <c r="H21" s="18">
        <f>G21/9</f>
        <v>6.057777777777777</v>
      </c>
      <c r="I21" s="1"/>
      <c r="J21" s="1" t="s">
        <v>108</v>
      </c>
      <c r="K21" s="1"/>
      <c r="L21" s="1"/>
      <c r="M21" s="1"/>
      <c r="N21" s="1"/>
      <c r="O21" s="85" t="s">
        <v>153</v>
      </c>
      <c r="P21" s="85"/>
      <c r="Q21" s="85"/>
      <c r="R21" s="85"/>
      <c r="S21" s="85"/>
      <c r="T21" s="85"/>
      <c r="U21" s="85"/>
      <c r="V21" s="85"/>
      <c r="W21" s="85"/>
      <c r="Y21" t="s">
        <v>41</v>
      </c>
      <c r="Z21" t="s">
        <v>36</v>
      </c>
      <c r="AA21">
        <v>1</v>
      </c>
      <c r="AB21">
        <f>D10</f>
        <v>5.28</v>
      </c>
    </row>
    <row r="22" spans="2:28" ht="15.6" customHeight="1" x14ac:dyDescent="0.25">
      <c r="B22" s="21"/>
      <c r="C22" s="4" t="s">
        <v>41</v>
      </c>
      <c r="D22" s="4">
        <f>G10</f>
        <v>12.21</v>
      </c>
      <c r="E22" s="4">
        <f>G11</f>
        <v>14.71</v>
      </c>
      <c r="F22" s="4">
        <f>G12</f>
        <v>21.78</v>
      </c>
      <c r="G22" s="8">
        <f>SUM(D22:F22)</f>
        <v>48.7</v>
      </c>
      <c r="H22" s="18">
        <f>G22/9</f>
        <v>5.4111111111111114</v>
      </c>
      <c r="I22" s="1"/>
      <c r="J22" s="1"/>
      <c r="K22" s="6"/>
      <c r="L22" s="1"/>
      <c r="M22" s="1"/>
      <c r="N22" s="1"/>
      <c r="O22" s="85"/>
      <c r="P22" s="85"/>
      <c r="Q22" s="85"/>
      <c r="R22" s="85"/>
      <c r="S22" s="85"/>
      <c r="T22" s="85"/>
      <c r="U22" s="85"/>
      <c r="V22" s="85"/>
      <c r="W22" s="85"/>
      <c r="Y22" t="s">
        <v>41</v>
      </c>
      <c r="Z22" t="s">
        <v>36</v>
      </c>
      <c r="AA22">
        <v>2</v>
      </c>
      <c r="AB22">
        <f>E10</f>
        <v>3.13</v>
      </c>
    </row>
    <row r="23" spans="2:28" ht="15.75" x14ac:dyDescent="0.25">
      <c r="B23" s="21"/>
      <c r="C23" s="19" t="s">
        <v>2</v>
      </c>
      <c r="D23" s="8">
        <f>SUM(D20:D22)</f>
        <v>40.03</v>
      </c>
      <c r="E23" s="8">
        <f>SUM(E20:E22)</f>
        <v>49.339999999999996</v>
      </c>
      <c r="F23" s="8">
        <f>SUM(F20:F22)</f>
        <v>68.64</v>
      </c>
      <c r="G23" s="10">
        <f>SUM(G20:G22)</f>
        <v>158.01</v>
      </c>
      <c r="H23" s="4"/>
      <c r="I23" s="1"/>
      <c r="J23" s="1"/>
      <c r="K23" s="1"/>
      <c r="L23" s="1"/>
      <c r="M23" s="1"/>
      <c r="N23" s="1"/>
      <c r="O23" s="85"/>
      <c r="P23" s="85"/>
      <c r="Q23" s="85"/>
      <c r="R23" s="85"/>
      <c r="S23" s="85"/>
      <c r="T23" s="85"/>
      <c r="U23" s="85"/>
      <c r="V23" s="85"/>
      <c r="W23" s="85"/>
      <c r="Y23" t="s">
        <v>41</v>
      </c>
      <c r="Z23" t="s">
        <v>36</v>
      </c>
      <c r="AA23">
        <v>3</v>
      </c>
      <c r="AB23">
        <f>F10</f>
        <v>3.8</v>
      </c>
    </row>
    <row r="24" spans="2:28" ht="15.75" x14ac:dyDescent="0.25">
      <c r="B24" s="21"/>
      <c r="C24" s="19" t="s">
        <v>3</v>
      </c>
      <c r="D24" s="18">
        <f>D23/9</f>
        <v>4.4477777777777776</v>
      </c>
      <c r="E24" s="18">
        <f>E23/9</f>
        <v>5.4822222222222221</v>
      </c>
      <c r="F24" s="18">
        <f>F23/9</f>
        <v>7.6266666666666669</v>
      </c>
      <c r="G24" s="1"/>
      <c r="H24" s="1"/>
      <c r="I24" s="1"/>
      <c r="J24" s="22"/>
      <c r="K24" s="22"/>
      <c r="L24" s="22"/>
      <c r="M24" s="1"/>
      <c r="N24" s="1"/>
      <c r="O24" s="85"/>
      <c r="P24" s="85"/>
      <c r="Q24" s="85"/>
      <c r="R24" s="85"/>
      <c r="S24" s="85"/>
      <c r="T24" s="85"/>
      <c r="U24" s="85"/>
      <c r="V24" s="85"/>
      <c r="W24" s="85"/>
      <c r="Y24" t="s">
        <v>41</v>
      </c>
      <c r="Z24" t="s">
        <v>37</v>
      </c>
      <c r="AA24">
        <v>1</v>
      </c>
      <c r="AB24">
        <f>D11</f>
        <v>5.5</v>
      </c>
    </row>
    <row r="25" spans="2:28" ht="15.75" x14ac:dyDescent="0.25">
      <c r="B25" s="21"/>
      <c r="C25" s="1"/>
      <c r="D25" s="1"/>
      <c r="E25" s="1"/>
      <c r="F25" s="1"/>
      <c r="G25" s="1"/>
      <c r="H25" s="1"/>
      <c r="I25" s="1"/>
      <c r="J25" s="50"/>
      <c r="K25" s="22"/>
      <c r="L25" s="23"/>
      <c r="M25" s="1"/>
      <c r="N25" s="1"/>
      <c r="O25" s="1"/>
      <c r="P25" s="1"/>
      <c r="Q25" s="1"/>
      <c r="Y25" t="s">
        <v>41</v>
      </c>
      <c r="Z25" t="s">
        <v>37</v>
      </c>
      <c r="AA25">
        <v>2</v>
      </c>
      <c r="AB25">
        <f>E11</f>
        <v>5.09</v>
      </c>
    </row>
    <row r="26" spans="2:28" ht="15.75" x14ac:dyDescent="0.25">
      <c r="B26" s="2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Y26" t="s">
        <v>41</v>
      </c>
      <c r="Z26" t="s">
        <v>37</v>
      </c>
      <c r="AA26">
        <v>3</v>
      </c>
      <c r="AB26">
        <f>F11</f>
        <v>4.12</v>
      </c>
    </row>
    <row r="27" spans="2:28" x14ac:dyDescent="0.25">
      <c r="Y27" t="s">
        <v>41</v>
      </c>
      <c r="Z27" t="s">
        <v>38</v>
      </c>
      <c r="AA27">
        <v>1</v>
      </c>
      <c r="AB27">
        <f>D12</f>
        <v>6.03</v>
      </c>
    </row>
    <row r="28" spans="2:28" x14ac:dyDescent="0.25">
      <c r="D28" t="s">
        <v>0</v>
      </c>
      <c r="E28" t="s">
        <v>49</v>
      </c>
      <c r="G28" t="s">
        <v>96</v>
      </c>
      <c r="I28" t="s">
        <v>94</v>
      </c>
      <c r="J28" t="s">
        <v>95</v>
      </c>
      <c r="K28" s="78" t="s">
        <v>103</v>
      </c>
      <c r="L28" s="78"/>
      <c r="Y28" t="s">
        <v>41</v>
      </c>
      <c r="Z28" t="s">
        <v>38</v>
      </c>
      <c r="AA28">
        <v>2</v>
      </c>
      <c r="AB28">
        <f>E12</f>
        <v>7.75</v>
      </c>
    </row>
    <row r="29" spans="2:28" x14ac:dyDescent="0.25">
      <c r="D29" t="s">
        <v>39</v>
      </c>
      <c r="E29" s="41">
        <f>H20</f>
        <v>6.0877777777777782</v>
      </c>
      <c r="F29" s="41"/>
      <c r="G29" t="s">
        <v>41</v>
      </c>
      <c r="H29" s="41">
        <f>E31</f>
        <v>5.4111111111111114</v>
      </c>
      <c r="I29" s="41">
        <f>H29+L31</f>
        <v>6.498141859523435</v>
      </c>
      <c r="J29" t="s">
        <v>59</v>
      </c>
      <c r="K29" t="s">
        <v>111</v>
      </c>
      <c r="L29">
        <f>SQRT(M18/(K3*K5))</f>
        <v>0.29781664340063657</v>
      </c>
      <c r="Y29" t="s">
        <v>41</v>
      </c>
      <c r="Z29" t="s">
        <v>38</v>
      </c>
      <c r="AA29">
        <v>3</v>
      </c>
      <c r="AB29">
        <f>F12</f>
        <v>8</v>
      </c>
    </row>
    <row r="30" spans="2:28" x14ac:dyDescent="0.25">
      <c r="D30" t="s">
        <v>40</v>
      </c>
      <c r="E30" s="41">
        <f>H21</f>
        <v>6.057777777777777</v>
      </c>
      <c r="F30" s="41"/>
      <c r="G30" t="s">
        <v>40</v>
      </c>
      <c r="H30" s="41">
        <f>E30</f>
        <v>6.057777777777777</v>
      </c>
      <c r="J30" t="s">
        <v>59</v>
      </c>
      <c r="K30" t="s">
        <v>42</v>
      </c>
      <c r="L30">
        <v>3.65</v>
      </c>
    </row>
    <row r="31" spans="2:28" x14ac:dyDescent="0.25">
      <c r="D31" t="s">
        <v>41</v>
      </c>
      <c r="E31" s="41">
        <f>H22</f>
        <v>5.4111111111111114</v>
      </c>
      <c r="G31" t="s">
        <v>39</v>
      </c>
      <c r="H31" s="41">
        <f>E29</f>
        <v>6.0877777777777782</v>
      </c>
      <c r="J31" t="s">
        <v>59</v>
      </c>
      <c r="K31" s="41" t="s">
        <v>43</v>
      </c>
      <c r="L31">
        <f>L30*L29</f>
        <v>1.0870307484123234</v>
      </c>
    </row>
    <row r="32" spans="2:28" ht="15.75" x14ac:dyDescent="0.25">
      <c r="D32" s="86" t="s">
        <v>117</v>
      </c>
      <c r="E32" s="86"/>
      <c r="F32" s="86"/>
      <c r="G32" s="86"/>
      <c r="H32" s="86"/>
      <c r="I32" s="86"/>
      <c r="J32" s="86"/>
      <c r="K32" s="86"/>
      <c r="L32" s="86"/>
      <c r="Q32" s="52"/>
      <c r="R32" s="52"/>
      <c r="S32" s="52"/>
      <c r="T32" s="52"/>
      <c r="U32" s="41"/>
      <c r="V32" s="41"/>
    </row>
    <row r="33" spans="4:22" ht="15.75" x14ac:dyDescent="0.25">
      <c r="K33" s="41"/>
      <c r="Q33" s="52"/>
      <c r="R33" s="52"/>
      <c r="S33" s="52"/>
      <c r="T33" s="52"/>
    </row>
    <row r="34" spans="4:22" ht="15.75" x14ac:dyDescent="0.25">
      <c r="Q34" s="22"/>
      <c r="R34" s="22"/>
      <c r="S34" s="22"/>
      <c r="T34" s="22"/>
    </row>
    <row r="35" spans="4:22" x14ac:dyDescent="0.25">
      <c r="D35" t="s">
        <v>0</v>
      </c>
      <c r="E35" t="s">
        <v>49</v>
      </c>
      <c r="F35" t="s">
        <v>94</v>
      </c>
      <c r="G35" t="s">
        <v>97</v>
      </c>
      <c r="H35" s="78" t="s">
        <v>104</v>
      </c>
      <c r="I35" s="78"/>
    </row>
    <row r="36" spans="4:22" x14ac:dyDescent="0.25">
      <c r="D36" t="s">
        <v>36</v>
      </c>
      <c r="E36" s="41">
        <f>D24</f>
        <v>4.4477777777777776</v>
      </c>
      <c r="F36" s="41">
        <f>E36+I38</f>
        <v>5.5348085261901012</v>
      </c>
      <c r="G36" t="s">
        <v>59</v>
      </c>
      <c r="H36" t="s">
        <v>111</v>
      </c>
      <c r="I36">
        <f>SQRT(M18/(K4*K5))</f>
        <v>0.29781664340063657</v>
      </c>
    </row>
    <row r="37" spans="4:22" ht="15.75" x14ac:dyDescent="0.25">
      <c r="D37" t="s">
        <v>37</v>
      </c>
      <c r="E37" s="41">
        <f>E24</f>
        <v>5.4822222222222221</v>
      </c>
      <c r="F37" s="41">
        <f>E37+I38</f>
        <v>6.5692529706345457</v>
      </c>
      <c r="G37" t="s">
        <v>59</v>
      </c>
      <c r="H37" t="s">
        <v>42</v>
      </c>
      <c r="I37">
        <v>3.65</v>
      </c>
      <c r="Q37" s="52"/>
      <c r="R37" s="52"/>
      <c r="S37" s="52"/>
      <c r="T37" s="52"/>
      <c r="U37" s="41"/>
      <c r="V37" s="41"/>
    </row>
    <row r="38" spans="4:22" ht="15.75" x14ac:dyDescent="0.25">
      <c r="D38" s="41" t="s">
        <v>38</v>
      </c>
      <c r="E38" s="41">
        <f>F24</f>
        <v>7.6266666666666669</v>
      </c>
      <c r="F38" s="41">
        <f>E38+I38</f>
        <v>8.7136974150789896</v>
      </c>
      <c r="G38" t="s">
        <v>61</v>
      </c>
      <c r="H38" t="s">
        <v>43</v>
      </c>
      <c r="I38" s="41">
        <f>I37*I36</f>
        <v>1.0870307484123234</v>
      </c>
      <c r="Q38" s="52"/>
      <c r="R38" s="52"/>
      <c r="S38" s="52"/>
      <c r="T38" s="52"/>
    </row>
    <row r="39" spans="4:22" ht="15.75" x14ac:dyDescent="0.25">
      <c r="D39" s="89" t="s">
        <v>118</v>
      </c>
      <c r="E39" s="89"/>
      <c r="F39" s="89"/>
      <c r="G39" s="89"/>
      <c r="H39" s="89"/>
      <c r="I39" s="89"/>
      <c r="Q39" s="22"/>
      <c r="R39" s="22"/>
      <c r="S39" s="22"/>
      <c r="T39" s="22"/>
    </row>
    <row r="40" spans="4:22" x14ac:dyDescent="0.25">
      <c r="D40" s="89"/>
      <c r="E40" s="89"/>
      <c r="F40" s="89"/>
      <c r="G40" s="89"/>
      <c r="H40" s="89"/>
      <c r="I40" s="89"/>
    </row>
    <row r="41" spans="4:22" x14ac:dyDescent="0.25">
      <c r="D41" s="41"/>
      <c r="E41" s="41"/>
      <c r="F41" s="41"/>
    </row>
    <row r="42" spans="4:22" ht="15.75" x14ac:dyDescent="0.25">
      <c r="D42" s="41" t="s">
        <v>0</v>
      </c>
      <c r="E42" s="41" t="s">
        <v>49</v>
      </c>
      <c r="F42" s="41"/>
      <c r="G42" t="s">
        <v>98</v>
      </c>
      <c r="I42" s="41" t="s">
        <v>94</v>
      </c>
      <c r="J42" s="41" t="s">
        <v>95</v>
      </c>
      <c r="Q42" s="22"/>
      <c r="R42" s="22"/>
      <c r="S42" s="22"/>
      <c r="T42" s="41"/>
      <c r="U42" s="41"/>
    </row>
    <row r="43" spans="4:22" ht="15.75" x14ac:dyDescent="0.25">
      <c r="D43" t="s">
        <v>8</v>
      </c>
      <c r="E43" s="41">
        <f>H4</f>
        <v>4.5866666666666669</v>
      </c>
      <c r="F43" s="41"/>
      <c r="G43" t="s">
        <v>17</v>
      </c>
      <c r="H43" s="41">
        <f>E49</f>
        <v>4.07</v>
      </c>
      <c r="I43" s="41">
        <f>H43+L46</f>
        <v>6.4222010231554343</v>
      </c>
      <c r="J43" t="s">
        <v>59</v>
      </c>
      <c r="K43" s="78" t="s">
        <v>106</v>
      </c>
      <c r="L43" s="78"/>
      <c r="P43" s="52"/>
      <c r="Q43" s="52"/>
      <c r="R43" s="52"/>
      <c r="S43" s="52"/>
    </row>
    <row r="44" spans="4:22" ht="15.75" x14ac:dyDescent="0.25">
      <c r="D44" t="s">
        <v>10</v>
      </c>
      <c r="E44" s="41">
        <f>H5</f>
        <v>5.8233333333333333</v>
      </c>
      <c r="F44" s="41"/>
      <c r="G44" t="s">
        <v>8</v>
      </c>
      <c r="H44" s="41">
        <f>E43</f>
        <v>4.5866666666666669</v>
      </c>
      <c r="I44" s="41">
        <f>H44+L46</f>
        <v>6.9388676898221</v>
      </c>
      <c r="J44" t="s">
        <v>59</v>
      </c>
      <c r="K44" t="s">
        <v>111</v>
      </c>
      <c r="L44">
        <f>SQRT(M18/K5)</f>
        <v>0.51583355770952499</v>
      </c>
      <c r="P44" s="22"/>
      <c r="Q44" s="22"/>
      <c r="R44" s="22"/>
      <c r="S44" s="22"/>
    </row>
    <row r="45" spans="4:22" x14ac:dyDescent="0.25">
      <c r="D45" t="s">
        <v>12</v>
      </c>
      <c r="E45" s="41">
        <f t="shared" ref="E45:E51" si="4">H6</f>
        <v>7.8533333333333344</v>
      </c>
      <c r="F45" s="41"/>
      <c r="G45" t="s">
        <v>13</v>
      </c>
      <c r="H45" s="41">
        <f>E46</f>
        <v>4.6866666666666665</v>
      </c>
      <c r="I45" s="41">
        <f>H45+L46</f>
        <v>7.0388676898220996</v>
      </c>
      <c r="J45" t="s">
        <v>59</v>
      </c>
      <c r="K45" t="s">
        <v>42</v>
      </c>
      <c r="L45">
        <v>4.5599999999999996</v>
      </c>
    </row>
    <row r="46" spans="4:22" x14ac:dyDescent="0.25">
      <c r="D46" t="s">
        <v>13</v>
      </c>
      <c r="E46" s="41">
        <f t="shared" si="4"/>
        <v>4.6866666666666665</v>
      </c>
      <c r="F46" s="41"/>
      <c r="G46" t="s">
        <v>18</v>
      </c>
      <c r="H46" s="41">
        <f>E50</f>
        <v>4.9033333333333333</v>
      </c>
      <c r="I46" s="41">
        <f>H46+L46</f>
        <v>7.2555343564887664</v>
      </c>
      <c r="J46" t="s">
        <v>57</v>
      </c>
      <c r="K46" t="s">
        <v>43</v>
      </c>
      <c r="L46">
        <f>L45*L44</f>
        <v>2.3522010231554336</v>
      </c>
    </row>
    <row r="47" spans="4:22" x14ac:dyDescent="0.25">
      <c r="D47" t="s">
        <v>15</v>
      </c>
      <c r="E47" s="41">
        <f t="shared" si="4"/>
        <v>5.72</v>
      </c>
      <c r="F47" s="41"/>
      <c r="G47" t="s">
        <v>15</v>
      </c>
      <c r="H47" s="41">
        <f>E47</f>
        <v>5.72</v>
      </c>
      <c r="I47" s="41">
        <f>H47+L46</f>
        <v>8.0722010231554329</v>
      </c>
      <c r="J47" t="s">
        <v>55</v>
      </c>
    </row>
    <row r="48" spans="4:22" x14ac:dyDescent="0.25">
      <c r="D48" t="s">
        <v>16</v>
      </c>
      <c r="E48" s="41">
        <f t="shared" si="4"/>
        <v>7.7666666666666666</v>
      </c>
      <c r="G48" t="s">
        <v>10</v>
      </c>
      <c r="H48" s="41">
        <f>E44</f>
        <v>5.8233333333333333</v>
      </c>
      <c r="I48" s="41"/>
      <c r="J48" t="s">
        <v>55</v>
      </c>
    </row>
    <row r="49" spans="4:10" x14ac:dyDescent="0.25">
      <c r="D49" t="s">
        <v>17</v>
      </c>
      <c r="E49" s="41">
        <f t="shared" si="4"/>
        <v>4.07</v>
      </c>
      <c r="G49" t="s">
        <v>26</v>
      </c>
      <c r="H49" s="41">
        <f>E51</f>
        <v>7.2600000000000007</v>
      </c>
      <c r="I49" s="41"/>
      <c r="J49" t="s">
        <v>56</v>
      </c>
    </row>
    <row r="50" spans="4:10" x14ac:dyDescent="0.25">
      <c r="D50" t="s">
        <v>18</v>
      </c>
      <c r="E50" s="41">
        <f t="shared" si="4"/>
        <v>4.9033333333333333</v>
      </c>
      <c r="G50" t="s">
        <v>16</v>
      </c>
      <c r="H50" s="41">
        <f>E48</f>
        <v>7.7666666666666666</v>
      </c>
      <c r="J50" t="s">
        <v>58</v>
      </c>
    </row>
    <row r="51" spans="4:10" x14ac:dyDescent="0.25">
      <c r="D51" t="s">
        <v>26</v>
      </c>
      <c r="E51" s="41">
        <f t="shared" si="4"/>
        <v>7.2600000000000007</v>
      </c>
      <c r="G51" t="s">
        <v>12</v>
      </c>
      <c r="H51" s="41">
        <f>E45</f>
        <v>7.8533333333333344</v>
      </c>
      <c r="J51" t="s">
        <v>58</v>
      </c>
    </row>
  </sheetData>
  <mergeCells count="20">
    <mergeCell ref="O21:W24"/>
    <mergeCell ref="D32:L32"/>
    <mergeCell ref="D39:I40"/>
    <mergeCell ref="M11:M12"/>
    <mergeCell ref="N11:N12"/>
    <mergeCell ref="O11:P11"/>
    <mergeCell ref="Q11:Q12"/>
    <mergeCell ref="G2:G3"/>
    <mergeCell ref="H2:H3"/>
    <mergeCell ref="L11:L12"/>
    <mergeCell ref="J11:J12"/>
    <mergeCell ref="K11:K12"/>
    <mergeCell ref="I2:I3"/>
    <mergeCell ref="K43:L43"/>
    <mergeCell ref="H35:I35"/>
    <mergeCell ref="K28:L28"/>
    <mergeCell ref="C18:C19"/>
    <mergeCell ref="D18:F18"/>
    <mergeCell ref="G18:G19"/>
    <mergeCell ref="H18:H1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Z50"/>
  <sheetViews>
    <sheetView topLeftCell="B19" zoomScale="90" zoomScaleNormal="90" workbookViewId="0">
      <selection activeCell="N31" sqref="N31"/>
    </sheetView>
  </sheetViews>
  <sheetFormatPr defaultRowHeight="15" x14ac:dyDescent="0.25"/>
  <cols>
    <col min="2" max="2" width="18.28515625" customWidth="1"/>
    <col min="6" max="6" width="14.28515625" customWidth="1"/>
    <col min="7" max="7" width="14.42578125" customWidth="1"/>
    <col min="8" max="8" width="12.140625" customWidth="1"/>
    <col min="9" max="9" width="15.140625" customWidth="1"/>
    <col min="10" max="10" width="12.28515625" customWidth="1"/>
    <col min="11" max="11" width="13.42578125" customWidth="1"/>
    <col min="12" max="12" width="13.140625" customWidth="1"/>
  </cols>
  <sheetData>
    <row r="2" spans="2:26" ht="15.75" x14ac:dyDescent="0.25">
      <c r="B2" s="2" t="s">
        <v>0</v>
      </c>
      <c r="C2" s="2" t="s">
        <v>1</v>
      </c>
      <c r="D2" s="2"/>
      <c r="E2" s="2"/>
      <c r="F2" s="2" t="s">
        <v>2</v>
      </c>
      <c r="G2" s="77" t="s">
        <v>3</v>
      </c>
      <c r="H2" s="88" t="s">
        <v>77</v>
      </c>
      <c r="I2" s="1"/>
      <c r="J2" s="1"/>
      <c r="K2" s="1"/>
      <c r="L2" s="1"/>
      <c r="M2" s="1"/>
      <c r="N2" s="1"/>
      <c r="O2" s="1"/>
      <c r="P2" s="1"/>
      <c r="W2" t="s">
        <v>51</v>
      </c>
      <c r="X2" t="s">
        <v>60</v>
      </c>
      <c r="Y2" t="s">
        <v>62</v>
      </c>
      <c r="Z2" t="s">
        <v>54</v>
      </c>
    </row>
    <row r="3" spans="2:26" ht="15.75" x14ac:dyDescent="0.25">
      <c r="B3" s="2"/>
      <c r="C3" s="2" t="s">
        <v>4</v>
      </c>
      <c r="D3" s="2" t="s">
        <v>5</v>
      </c>
      <c r="E3" s="2" t="s">
        <v>6</v>
      </c>
      <c r="F3" s="2"/>
      <c r="G3" s="77"/>
      <c r="H3" s="88"/>
      <c r="I3" s="3" t="s">
        <v>7</v>
      </c>
      <c r="J3" s="1">
        <v>3</v>
      </c>
      <c r="K3" s="1"/>
      <c r="L3" s="1"/>
      <c r="M3" s="1"/>
      <c r="N3" s="1"/>
      <c r="O3" s="1"/>
      <c r="P3" s="1"/>
      <c r="W3" t="s">
        <v>39</v>
      </c>
      <c r="X3" t="s">
        <v>36</v>
      </c>
      <c r="Y3">
        <v>1</v>
      </c>
      <c r="Z3">
        <f>C4</f>
        <v>44.23</v>
      </c>
    </row>
    <row r="4" spans="2:26" ht="15.75" x14ac:dyDescent="0.25">
      <c r="B4" s="4" t="s">
        <v>79</v>
      </c>
      <c r="C4" s="4">
        <v>44.23</v>
      </c>
      <c r="D4" s="4">
        <v>21.75</v>
      </c>
      <c r="E4" s="4">
        <v>44.7</v>
      </c>
      <c r="F4" s="4">
        <f>SUM(C4:E4)</f>
        <v>110.67999999999999</v>
      </c>
      <c r="G4" s="5">
        <f>AVERAGE(C4:E4)</f>
        <v>36.893333333333331</v>
      </c>
      <c r="H4" s="6">
        <f>STDEV(C4:E4)</f>
        <v>13.116616687748918</v>
      </c>
      <c r="I4" s="3" t="s">
        <v>9</v>
      </c>
      <c r="J4" s="1">
        <v>3</v>
      </c>
      <c r="K4" s="1"/>
      <c r="L4" s="1"/>
      <c r="M4" s="1"/>
      <c r="N4" s="1"/>
      <c r="O4" s="1"/>
      <c r="P4" s="1"/>
      <c r="W4" t="s">
        <v>39</v>
      </c>
      <c r="X4" t="s">
        <v>36</v>
      </c>
      <c r="Y4">
        <v>2</v>
      </c>
      <c r="Z4">
        <f>D4</f>
        <v>21.75</v>
      </c>
    </row>
    <row r="5" spans="2:26" ht="15.75" x14ac:dyDescent="0.25">
      <c r="B5" s="4" t="s">
        <v>80</v>
      </c>
      <c r="C5" s="20">
        <v>40.69</v>
      </c>
      <c r="D5" s="4">
        <v>33.42</v>
      </c>
      <c r="E5" s="4">
        <v>31.85</v>
      </c>
      <c r="F5" s="4">
        <f t="shared" ref="F5:F12" si="0">SUM(C5:E5)</f>
        <v>105.96000000000001</v>
      </c>
      <c r="G5" s="5">
        <f t="shared" ref="G5:G12" si="1">AVERAGE(C5:E5)</f>
        <v>35.32</v>
      </c>
      <c r="H5" s="6">
        <f t="shared" ref="H5:H12" si="2">STDEV(C5:E5)</f>
        <v>4.716343922997976</v>
      </c>
      <c r="I5" s="3" t="s">
        <v>11</v>
      </c>
      <c r="J5" s="1">
        <v>3</v>
      </c>
      <c r="K5" s="1"/>
      <c r="L5" s="1"/>
      <c r="M5" s="1"/>
      <c r="N5" s="1"/>
      <c r="O5" s="1"/>
      <c r="P5" s="1"/>
      <c r="W5" t="s">
        <v>39</v>
      </c>
      <c r="X5" t="s">
        <v>36</v>
      </c>
      <c r="Y5">
        <v>3</v>
      </c>
      <c r="Z5">
        <f>E4</f>
        <v>44.7</v>
      </c>
    </row>
    <row r="6" spans="2:26" ht="15.75" x14ac:dyDescent="0.25">
      <c r="B6" s="4" t="s">
        <v>87</v>
      </c>
      <c r="C6" s="4">
        <v>42.8</v>
      </c>
      <c r="D6" s="4">
        <v>32.31</v>
      </c>
      <c r="E6" s="4">
        <v>33.74</v>
      </c>
      <c r="F6" s="4">
        <f t="shared" si="0"/>
        <v>108.85</v>
      </c>
      <c r="G6" s="5">
        <f t="shared" si="1"/>
        <v>36.283333333333331</v>
      </c>
      <c r="H6" s="6">
        <f t="shared" si="2"/>
        <v>5.6887110432270775</v>
      </c>
      <c r="I6" s="1"/>
      <c r="J6" s="1"/>
      <c r="K6" s="1"/>
      <c r="L6" s="1"/>
      <c r="M6" s="1"/>
      <c r="N6" s="1"/>
      <c r="O6" s="1"/>
      <c r="P6" s="1"/>
      <c r="W6" t="s">
        <v>39</v>
      </c>
      <c r="X6" t="s">
        <v>37</v>
      </c>
      <c r="Y6">
        <v>1</v>
      </c>
      <c r="Z6" s="41">
        <f>C5</f>
        <v>40.69</v>
      </c>
    </row>
    <row r="7" spans="2:26" ht="15.75" x14ac:dyDescent="0.25">
      <c r="B7" s="4" t="s">
        <v>81</v>
      </c>
      <c r="C7" s="4">
        <v>42.9</v>
      </c>
      <c r="D7" s="4">
        <v>33.1</v>
      </c>
      <c r="E7" s="4">
        <v>41.25</v>
      </c>
      <c r="F7" s="4">
        <f t="shared" si="0"/>
        <v>117.25</v>
      </c>
      <c r="G7" s="5">
        <f t="shared" si="1"/>
        <v>39.083333333333336</v>
      </c>
      <c r="H7" s="6">
        <f t="shared" si="2"/>
        <v>5.2469832602490456</v>
      </c>
      <c r="I7" s="1" t="s">
        <v>14</v>
      </c>
      <c r="J7" s="7">
        <f>(F13^2)/(J3*J4*J5)</f>
        <v>37985.251792592593</v>
      </c>
      <c r="K7" s="1"/>
      <c r="L7" s="1"/>
      <c r="M7" s="1"/>
      <c r="N7" s="1"/>
      <c r="O7" s="1"/>
      <c r="P7" s="1"/>
      <c r="W7" t="s">
        <v>39</v>
      </c>
      <c r="X7" t="s">
        <v>37</v>
      </c>
      <c r="Y7">
        <v>2</v>
      </c>
      <c r="Z7">
        <f>D5</f>
        <v>33.42</v>
      </c>
    </row>
    <row r="8" spans="2:26" ht="15.75" x14ac:dyDescent="0.25">
      <c r="B8" s="4" t="s">
        <v>82</v>
      </c>
      <c r="C8" s="4">
        <v>44.04</v>
      </c>
      <c r="D8" s="4">
        <v>41.24</v>
      </c>
      <c r="E8" s="4">
        <v>50.15</v>
      </c>
      <c r="F8" s="4">
        <f t="shared" si="0"/>
        <v>135.43</v>
      </c>
      <c r="G8" s="5">
        <f t="shared" si="1"/>
        <v>45.143333333333338</v>
      </c>
      <c r="H8" s="6">
        <f t="shared" si="2"/>
        <v>4.5563179578836808</v>
      </c>
      <c r="I8" s="1"/>
      <c r="J8" s="1"/>
      <c r="K8" s="1"/>
      <c r="L8" s="1"/>
      <c r="M8" s="1"/>
      <c r="N8" s="1"/>
      <c r="O8" s="1"/>
      <c r="P8" s="1"/>
      <c r="W8" t="s">
        <v>39</v>
      </c>
      <c r="X8" t="s">
        <v>37</v>
      </c>
      <c r="Y8">
        <v>3</v>
      </c>
      <c r="Z8">
        <f>E5</f>
        <v>31.85</v>
      </c>
    </row>
    <row r="9" spans="2:26" ht="15.75" x14ac:dyDescent="0.25">
      <c r="B9" s="4" t="s">
        <v>83</v>
      </c>
      <c r="C9" s="4">
        <v>43.15</v>
      </c>
      <c r="D9" s="4">
        <v>44.16</v>
      </c>
      <c r="E9" s="4">
        <v>42.46</v>
      </c>
      <c r="F9" s="4">
        <f t="shared" si="0"/>
        <v>129.77000000000001</v>
      </c>
      <c r="G9" s="5">
        <f t="shared" si="1"/>
        <v>43.256666666666668</v>
      </c>
      <c r="H9" s="6">
        <f t="shared" si="2"/>
        <v>0.8550048732804566</v>
      </c>
      <c r="I9" s="1"/>
      <c r="J9" s="1"/>
      <c r="K9" s="1"/>
      <c r="L9" s="1"/>
      <c r="M9" s="1"/>
      <c r="N9" s="1"/>
      <c r="O9" s="1"/>
      <c r="P9" s="1"/>
      <c r="W9" t="s">
        <v>39</v>
      </c>
      <c r="X9" t="s">
        <v>38</v>
      </c>
      <c r="Y9">
        <v>1</v>
      </c>
      <c r="Z9">
        <f>C6</f>
        <v>42.8</v>
      </c>
    </row>
    <row r="10" spans="2:26" ht="15.75" x14ac:dyDescent="0.25">
      <c r="B10" s="4" t="s">
        <v>84</v>
      </c>
      <c r="C10" s="4">
        <v>37.44</v>
      </c>
      <c r="D10" s="4">
        <v>22.7</v>
      </c>
      <c r="E10" s="4">
        <v>32.06</v>
      </c>
      <c r="F10" s="4">
        <f t="shared" si="0"/>
        <v>92.2</v>
      </c>
      <c r="G10" s="5">
        <f t="shared" si="1"/>
        <v>30.733333333333334</v>
      </c>
      <c r="H10" s="6">
        <f t="shared" si="2"/>
        <v>7.4590169146700189</v>
      </c>
      <c r="I10" s="1"/>
      <c r="J10" s="1"/>
      <c r="K10" s="1"/>
      <c r="L10" s="1"/>
      <c r="M10" s="1"/>
      <c r="N10" s="1"/>
      <c r="O10" s="1"/>
      <c r="P10" s="1"/>
      <c r="W10" t="s">
        <v>39</v>
      </c>
      <c r="X10" t="s">
        <v>38</v>
      </c>
      <c r="Y10">
        <v>2</v>
      </c>
      <c r="Z10">
        <f>D6</f>
        <v>32.31</v>
      </c>
    </row>
    <row r="11" spans="2:26" ht="15.75" x14ac:dyDescent="0.25">
      <c r="B11" s="4" t="s">
        <v>85</v>
      </c>
      <c r="C11" s="4">
        <v>39.869999999999997</v>
      </c>
      <c r="D11" s="4">
        <v>36</v>
      </c>
      <c r="E11" s="4">
        <v>37.520000000000003</v>
      </c>
      <c r="F11" s="4">
        <f t="shared" si="0"/>
        <v>113.39000000000001</v>
      </c>
      <c r="G11" s="5">
        <f t="shared" si="1"/>
        <v>37.796666666666674</v>
      </c>
      <c r="H11" s="6">
        <f t="shared" si="2"/>
        <v>1.9497777651140982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W11" t="s">
        <v>39</v>
      </c>
      <c r="X11" t="s">
        <v>38</v>
      </c>
      <c r="Y11">
        <v>3</v>
      </c>
      <c r="Z11">
        <f>E6</f>
        <v>33.74</v>
      </c>
    </row>
    <row r="12" spans="2:26" ht="15.75" x14ac:dyDescent="0.25">
      <c r="B12" s="4" t="s">
        <v>86</v>
      </c>
      <c r="C12" s="4">
        <v>25.26</v>
      </c>
      <c r="D12" s="4">
        <v>37.65</v>
      </c>
      <c r="E12" s="4">
        <v>36.28</v>
      </c>
      <c r="F12" s="4">
        <f t="shared" si="0"/>
        <v>99.19</v>
      </c>
      <c r="G12" s="5">
        <f t="shared" si="1"/>
        <v>33.063333333333333</v>
      </c>
      <c r="H12" s="6">
        <f t="shared" si="2"/>
        <v>6.7925130351978966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W12" t="s">
        <v>40</v>
      </c>
      <c r="X12" t="s">
        <v>36</v>
      </c>
      <c r="Y12">
        <v>1</v>
      </c>
      <c r="Z12">
        <f>C7</f>
        <v>42.9</v>
      </c>
    </row>
    <row r="13" spans="2:26" ht="15.75" x14ac:dyDescent="0.25">
      <c r="B13" s="2" t="s">
        <v>2</v>
      </c>
      <c r="C13" s="4">
        <f>SUM(C4:C12)</f>
        <v>360.37999999999994</v>
      </c>
      <c r="D13" s="4">
        <f>SUM(D4:D12)</f>
        <v>302.33</v>
      </c>
      <c r="E13" s="4">
        <f>SUM(E4:E12)</f>
        <v>350.01</v>
      </c>
      <c r="F13" s="10">
        <f>SUM(F4:F12)</f>
        <v>1012.72</v>
      </c>
      <c r="G13" s="11"/>
      <c r="H13" s="1"/>
      <c r="I13" s="1" t="s">
        <v>27</v>
      </c>
      <c r="J13" s="21">
        <f>(J5-1)</f>
        <v>2</v>
      </c>
      <c r="K13" s="6">
        <f>SUMSQ(C13:E13)/(J3*J4)-J7</f>
        <v>212.98969629628846</v>
      </c>
      <c r="L13" s="6">
        <f t="shared" ref="L13:L18" si="3">K13/J13</f>
        <v>106.49484814814423</v>
      </c>
      <c r="M13" s="6">
        <f>L13/L18</f>
        <v>3.1007965202536787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t="s">
        <v>25</v>
      </c>
      <c r="S13" t="s">
        <v>28</v>
      </c>
      <c r="T13" t="s">
        <v>29</v>
      </c>
      <c r="W13" t="s">
        <v>40</v>
      </c>
      <c r="X13" t="s">
        <v>36</v>
      </c>
      <c r="Y13">
        <v>2</v>
      </c>
      <c r="Z13">
        <f>D7</f>
        <v>33.1</v>
      </c>
    </row>
    <row r="14" spans="2:26" ht="15.75" x14ac:dyDescent="0.25">
      <c r="B14" s="1"/>
      <c r="C14" s="1"/>
      <c r="D14" s="1"/>
      <c r="E14" s="1"/>
      <c r="F14" s="1"/>
      <c r="G14" s="1"/>
      <c r="H14" s="1"/>
      <c r="I14" s="1" t="s">
        <v>0</v>
      </c>
      <c r="J14" s="21">
        <f>(J3*J4-1)</f>
        <v>8</v>
      </c>
      <c r="K14" s="6">
        <f>SUMSQ(F4:F12)/J5-J7</f>
        <v>498.67987407407782</v>
      </c>
      <c r="L14" s="6">
        <f t="shared" si="3"/>
        <v>62.334984259259727</v>
      </c>
      <c r="M14" s="6">
        <f>L14/L18</f>
        <v>1.8149995576527671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tn</v>
      </c>
      <c r="S14" t="s">
        <v>30</v>
      </c>
      <c r="T14" t="s">
        <v>31</v>
      </c>
      <c r="W14" t="s">
        <v>40</v>
      </c>
      <c r="X14" t="s">
        <v>36</v>
      </c>
      <c r="Y14">
        <v>3</v>
      </c>
      <c r="Z14">
        <f>E7</f>
        <v>41.25</v>
      </c>
    </row>
    <row r="15" spans="2:26" ht="15.75" x14ac:dyDescent="0.25">
      <c r="B15" s="1"/>
      <c r="C15" s="1"/>
      <c r="D15" s="1"/>
      <c r="E15" s="1"/>
      <c r="F15" s="1"/>
      <c r="G15" s="1"/>
      <c r="H15" s="1"/>
      <c r="I15" s="24" t="s">
        <v>7</v>
      </c>
      <c r="J15" s="21">
        <f>(J3-1)</f>
        <v>2</v>
      </c>
      <c r="K15" s="6">
        <f>SUMSQ(F20:F22)/(J3*J5)-J7</f>
        <v>359.48054074074753</v>
      </c>
      <c r="L15" s="6">
        <f t="shared" si="3"/>
        <v>179.74027037037376</v>
      </c>
      <c r="M15" s="6">
        <f>L15/L18</f>
        <v>5.2334738685067785</v>
      </c>
      <c r="N15" s="13">
        <f>FINV(N12,J15,J18)</f>
        <v>3.6337234675916301</v>
      </c>
      <c r="O15" s="13">
        <f>FINV(O12,J15,J18)</f>
        <v>6.2262352803113821</v>
      </c>
      <c r="P15" s="1" t="s">
        <v>28</v>
      </c>
      <c r="S15" t="s">
        <v>32</v>
      </c>
      <c r="T15" t="s">
        <v>33</v>
      </c>
      <c r="W15" t="s">
        <v>40</v>
      </c>
      <c r="X15" t="s">
        <v>37</v>
      </c>
      <c r="Y15">
        <v>1</v>
      </c>
      <c r="Z15">
        <f>C8</f>
        <v>44.04</v>
      </c>
    </row>
    <row r="16" spans="2:26" ht="15.75" x14ac:dyDescent="0.25">
      <c r="B16" s="1"/>
      <c r="C16" s="1"/>
      <c r="D16" s="1"/>
      <c r="E16" s="1"/>
      <c r="F16" s="1"/>
      <c r="G16" s="1"/>
      <c r="H16" s="1"/>
      <c r="I16" s="24" t="s">
        <v>9</v>
      </c>
      <c r="J16" s="21">
        <f>(J4-1)</f>
        <v>2</v>
      </c>
      <c r="K16" s="6">
        <f>SUMSQ(C23:E23)/(J4*J5)-J7</f>
        <v>66.710585185181117</v>
      </c>
      <c r="L16" s="6">
        <f t="shared" si="3"/>
        <v>33.355292592590558</v>
      </c>
      <c r="M16" s="6">
        <f>L16/L18</f>
        <v>0.971201677843328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tn</v>
      </c>
      <c r="W16" t="s">
        <v>40</v>
      </c>
      <c r="X16" t="s">
        <v>37</v>
      </c>
      <c r="Y16">
        <v>2</v>
      </c>
      <c r="Z16">
        <f>D8</f>
        <v>41.24</v>
      </c>
    </row>
    <row r="17" spans="2:26" ht="15.75" x14ac:dyDescent="0.25">
      <c r="B17" s="1"/>
      <c r="C17" s="1"/>
      <c r="D17" s="1" t="s">
        <v>34</v>
      </c>
      <c r="E17" s="1"/>
      <c r="F17" s="1"/>
      <c r="G17" s="1"/>
      <c r="H17" s="1"/>
      <c r="I17" s="24" t="s">
        <v>44</v>
      </c>
      <c r="J17" s="21">
        <f>(J3-1)*(J4-1)</f>
        <v>4</v>
      </c>
      <c r="K17" s="6">
        <f>K14-K15-K16</f>
        <v>72.48874814814917</v>
      </c>
      <c r="L17" s="6">
        <f t="shared" si="3"/>
        <v>18.122187037037293</v>
      </c>
      <c r="M17" s="6">
        <f>L17/L18</f>
        <v>0.52766134213048099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tn</v>
      </c>
      <c r="W17" t="s">
        <v>40</v>
      </c>
      <c r="X17" t="s">
        <v>37</v>
      </c>
      <c r="Y17">
        <v>3</v>
      </c>
      <c r="Z17">
        <f>E8</f>
        <v>50.15</v>
      </c>
    </row>
    <row r="18" spans="2:26" ht="15.75" x14ac:dyDescent="0.25">
      <c r="B18" s="79" t="s">
        <v>7</v>
      </c>
      <c r="C18" s="79" t="s">
        <v>9</v>
      </c>
      <c r="D18" s="79"/>
      <c r="E18" s="79"/>
      <c r="F18" s="80" t="s">
        <v>2</v>
      </c>
      <c r="G18" s="80" t="s">
        <v>3</v>
      </c>
      <c r="H18" s="1"/>
      <c r="I18" s="1" t="s">
        <v>35</v>
      </c>
      <c r="J18" s="21">
        <f>(J3*J4-1)*(J5-1)</f>
        <v>16</v>
      </c>
      <c r="K18" s="6">
        <f>K19-K13-K14</f>
        <v>549.50963703703746</v>
      </c>
      <c r="L18" s="6">
        <f t="shared" si="3"/>
        <v>34.344352314814842</v>
      </c>
      <c r="M18" s="14"/>
      <c r="N18" s="14"/>
      <c r="O18" s="14"/>
      <c r="P18" s="14"/>
      <c r="W18" t="s">
        <v>40</v>
      </c>
      <c r="X18" t="s">
        <v>38</v>
      </c>
      <c r="Y18">
        <v>1</v>
      </c>
      <c r="Z18">
        <f>C9</f>
        <v>43.15</v>
      </c>
    </row>
    <row r="19" spans="2:26" ht="15.75" x14ac:dyDescent="0.25">
      <c r="B19" s="79"/>
      <c r="C19" s="4" t="s">
        <v>36</v>
      </c>
      <c r="D19" s="4" t="s">
        <v>37</v>
      </c>
      <c r="E19" s="4" t="s">
        <v>38</v>
      </c>
      <c r="F19" s="80"/>
      <c r="G19" s="80"/>
      <c r="H19" s="1"/>
      <c r="I19" s="15" t="s">
        <v>2</v>
      </c>
      <c r="J19" s="33">
        <f>(J3*J4*J5-1)</f>
        <v>26</v>
      </c>
      <c r="K19" s="42">
        <f>SUMSQ(C4:E12)-J7</f>
        <v>1261.1792074074037</v>
      </c>
      <c r="L19" s="17"/>
      <c r="M19" s="17"/>
      <c r="N19" s="17"/>
      <c r="O19" s="17"/>
      <c r="P19" s="17"/>
      <c r="W19" t="s">
        <v>40</v>
      </c>
      <c r="X19" t="s">
        <v>38</v>
      </c>
      <c r="Y19">
        <v>2</v>
      </c>
      <c r="Z19">
        <f>D9</f>
        <v>44.16</v>
      </c>
    </row>
    <row r="20" spans="2:26" ht="15.75" x14ac:dyDescent="0.25">
      <c r="B20" s="4" t="s">
        <v>39</v>
      </c>
      <c r="C20" s="4">
        <f>F4</f>
        <v>110.67999999999999</v>
      </c>
      <c r="D20" s="4">
        <f>F5</f>
        <v>105.96000000000001</v>
      </c>
      <c r="E20" s="4">
        <f>F6</f>
        <v>108.85</v>
      </c>
      <c r="F20" s="8">
        <f>SUM(C20:E20)</f>
        <v>325.49</v>
      </c>
      <c r="G20" s="18">
        <f>F20/9</f>
        <v>36.165555555555557</v>
      </c>
      <c r="H20" s="1"/>
      <c r="I20" s="1"/>
      <c r="J20" s="1"/>
      <c r="K20" s="1"/>
      <c r="L20" s="1"/>
      <c r="M20" s="1"/>
      <c r="N20" s="1"/>
      <c r="O20" s="1"/>
      <c r="P20" s="1"/>
      <c r="W20" t="s">
        <v>40</v>
      </c>
      <c r="X20" t="s">
        <v>38</v>
      </c>
      <c r="Y20">
        <v>3</v>
      </c>
      <c r="Z20">
        <f>E9</f>
        <v>42.46</v>
      </c>
    </row>
    <row r="21" spans="2:26" ht="15.75" customHeight="1" x14ac:dyDescent="0.25">
      <c r="B21" s="4" t="s">
        <v>40</v>
      </c>
      <c r="C21" s="4">
        <f>F7</f>
        <v>117.25</v>
      </c>
      <c r="D21" s="4">
        <f>F8</f>
        <v>135.43</v>
      </c>
      <c r="E21" s="4">
        <f>F9</f>
        <v>129.77000000000001</v>
      </c>
      <c r="F21" s="8">
        <f>SUM(C21:E21)</f>
        <v>382.45000000000005</v>
      </c>
      <c r="G21" s="18">
        <f>F21/9</f>
        <v>42.494444444444447</v>
      </c>
      <c r="H21" s="1"/>
      <c r="I21" s="1" t="s">
        <v>107</v>
      </c>
      <c r="J21" s="1"/>
      <c r="K21" s="1"/>
      <c r="L21" s="1"/>
      <c r="M21" s="1"/>
      <c r="N21" s="85" t="s">
        <v>152</v>
      </c>
      <c r="O21" s="85"/>
      <c r="P21" s="85"/>
      <c r="Q21" s="85"/>
      <c r="R21" s="85"/>
      <c r="S21" s="85"/>
      <c r="T21" s="85"/>
      <c r="U21" s="85"/>
      <c r="W21" t="s">
        <v>41</v>
      </c>
      <c r="X21" t="s">
        <v>36</v>
      </c>
      <c r="Y21">
        <v>1</v>
      </c>
      <c r="Z21">
        <f>C10</f>
        <v>37.44</v>
      </c>
    </row>
    <row r="22" spans="2:26" ht="15.75" x14ac:dyDescent="0.25">
      <c r="B22" s="4" t="s">
        <v>41</v>
      </c>
      <c r="C22" s="4">
        <f>F10</f>
        <v>92.2</v>
      </c>
      <c r="D22" s="4">
        <f>F11</f>
        <v>113.39000000000001</v>
      </c>
      <c r="E22" s="4">
        <f>F12</f>
        <v>99.19</v>
      </c>
      <c r="F22" s="8">
        <f>SUM(C22:E22)</f>
        <v>304.78000000000003</v>
      </c>
      <c r="G22" s="18">
        <f>F22/9</f>
        <v>33.864444444444445</v>
      </c>
      <c r="H22" s="1"/>
      <c r="I22" s="1"/>
      <c r="J22" s="6"/>
      <c r="K22" s="1"/>
      <c r="L22" s="1"/>
      <c r="M22" s="1"/>
      <c r="N22" s="85"/>
      <c r="O22" s="85"/>
      <c r="P22" s="85"/>
      <c r="Q22" s="85"/>
      <c r="R22" s="85"/>
      <c r="S22" s="85"/>
      <c r="T22" s="85"/>
      <c r="U22" s="85"/>
      <c r="W22" t="s">
        <v>41</v>
      </c>
      <c r="X22" t="s">
        <v>36</v>
      </c>
      <c r="Y22">
        <v>2</v>
      </c>
      <c r="Z22">
        <f>D10</f>
        <v>22.7</v>
      </c>
    </row>
    <row r="23" spans="2:26" ht="15.75" x14ac:dyDescent="0.25">
      <c r="B23" s="19" t="s">
        <v>2</v>
      </c>
      <c r="C23" s="8">
        <f>SUM(C20:C22)</f>
        <v>320.13</v>
      </c>
      <c r="D23" s="8">
        <f>SUM(D20:D22)</f>
        <v>354.78000000000003</v>
      </c>
      <c r="E23" s="8">
        <f>SUM(E20:E22)</f>
        <v>337.81</v>
      </c>
      <c r="F23" s="10">
        <f>SUM(F20:F22)</f>
        <v>1012.72</v>
      </c>
      <c r="G23" s="4"/>
      <c r="H23" s="1"/>
      <c r="I23" s="1"/>
      <c r="J23" s="1"/>
      <c r="K23" s="1"/>
      <c r="L23" s="1"/>
      <c r="M23" s="1"/>
      <c r="N23" s="85"/>
      <c r="O23" s="85"/>
      <c r="P23" s="85"/>
      <c r="Q23" s="85"/>
      <c r="R23" s="85"/>
      <c r="S23" s="85"/>
      <c r="T23" s="85"/>
      <c r="U23" s="85"/>
      <c r="W23" t="s">
        <v>41</v>
      </c>
      <c r="X23" t="s">
        <v>36</v>
      </c>
      <c r="Y23">
        <v>3</v>
      </c>
      <c r="Z23">
        <f>E10</f>
        <v>32.06</v>
      </c>
    </row>
    <row r="24" spans="2:26" ht="15.75" x14ac:dyDescent="0.25">
      <c r="B24" s="19" t="s">
        <v>3</v>
      </c>
      <c r="C24" s="18">
        <f>C23/9</f>
        <v>35.57</v>
      </c>
      <c r="D24" s="18">
        <f>D23/9</f>
        <v>39.42</v>
      </c>
      <c r="E24" s="18">
        <f>E23/9</f>
        <v>37.534444444444446</v>
      </c>
      <c r="F24" s="1"/>
      <c r="G24" s="1"/>
      <c r="H24" s="1"/>
      <c r="J24" s="22"/>
      <c r="K24" s="22"/>
      <c r="L24" s="1"/>
      <c r="M24" s="1"/>
      <c r="N24" s="85"/>
      <c r="O24" s="85"/>
      <c r="P24" s="85"/>
      <c r="Q24" s="85"/>
      <c r="R24" s="85"/>
      <c r="S24" s="85"/>
      <c r="T24" s="85"/>
      <c r="U24" s="85"/>
      <c r="W24" t="s">
        <v>41</v>
      </c>
      <c r="X24" t="s">
        <v>37</v>
      </c>
      <c r="Y24">
        <v>1</v>
      </c>
      <c r="Z24">
        <f>C11</f>
        <v>39.869999999999997</v>
      </c>
    </row>
    <row r="25" spans="2:26" ht="15.75" x14ac:dyDescent="0.25">
      <c r="B25" s="1"/>
      <c r="C25" s="1"/>
      <c r="D25" s="1"/>
      <c r="E25" s="1"/>
      <c r="F25" s="1"/>
      <c r="G25" s="1"/>
      <c r="H25" s="1"/>
      <c r="I25" s="50"/>
      <c r="J25" s="22"/>
      <c r="K25" s="23"/>
      <c r="L25" s="1"/>
      <c r="M25" s="1"/>
      <c r="N25" s="1"/>
      <c r="O25" s="1"/>
      <c r="P25" s="1"/>
      <c r="W25" t="s">
        <v>41</v>
      </c>
      <c r="X25" t="s">
        <v>37</v>
      </c>
      <c r="Y25">
        <v>2</v>
      </c>
      <c r="Z25">
        <f>D11</f>
        <v>36</v>
      </c>
    </row>
    <row r="26" spans="2:26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W26" t="s">
        <v>41</v>
      </c>
      <c r="X26" t="s">
        <v>37</v>
      </c>
      <c r="Y26">
        <v>3</v>
      </c>
      <c r="Z26">
        <f>E11</f>
        <v>37.520000000000003</v>
      </c>
    </row>
    <row r="27" spans="2:26" ht="15.75" x14ac:dyDescent="0.25">
      <c r="B27" s="1"/>
      <c r="C27" s="1" t="s">
        <v>0</v>
      </c>
      <c r="D27" s="1" t="s">
        <v>49</v>
      </c>
      <c r="E27" s="1"/>
      <c r="F27" s="1" t="s">
        <v>96</v>
      </c>
      <c r="G27" s="1"/>
      <c r="H27" s="1" t="s">
        <v>94</v>
      </c>
      <c r="I27" s="1" t="s">
        <v>95</v>
      </c>
      <c r="J27" s="90" t="s">
        <v>103</v>
      </c>
      <c r="K27" s="90"/>
      <c r="L27" s="1"/>
      <c r="M27" s="1"/>
      <c r="N27" s="1"/>
      <c r="O27" s="1"/>
      <c r="P27" s="1"/>
      <c r="U27" s="21"/>
      <c r="V27" s="21"/>
      <c r="W27" t="s">
        <v>41</v>
      </c>
      <c r="X27" t="s">
        <v>38</v>
      </c>
      <c r="Y27">
        <v>1</v>
      </c>
      <c r="Z27">
        <f>C12</f>
        <v>25.26</v>
      </c>
    </row>
    <row r="28" spans="2:26" ht="15.75" x14ac:dyDescent="0.25">
      <c r="B28" s="1"/>
      <c r="C28" s="1" t="s">
        <v>39</v>
      </c>
      <c r="D28" s="6">
        <f>G20</f>
        <v>36.165555555555557</v>
      </c>
      <c r="E28" s="1"/>
      <c r="F28" s="1" t="s">
        <v>41</v>
      </c>
      <c r="G28" s="27">
        <f>D30</f>
        <v>33.864444444444445</v>
      </c>
      <c r="H28" s="6">
        <f>G28+K30</f>
        <v>40.994604437305135</v>
      </c>
      <c r="I28" s="21" t="s">
        <v>59</v>
      </c>
      <c r="J28" t="s">
        <v>111</v>
      </c>
      <c r="K28" s="13">
        <f>SQRT(L18/(J3*J5))</f>
        <v>1.9534684911947102</v>
      </c>
      <c r="L28" s="1"/>
      <c r="M28" s="1"/>
      <c r="N28" s="1"/>
      <c r="O28" s="1"/>
      <c r="P28" s="1"/>
      <c r="U28" s="21"/>
      <c r="V28" s="21"/>
      <c r="W28" t="s">
        <v>41</v>
      </c>
      <c r="X28" t="s">
        <v>38</v>
      </c>
      <c r="Y28">
        <v>2</v>
      </c>
      <c r="Z28">
        <f>D12</f>
        <v>37.65</v>
      </c>
    </row>
    <row r="29" spans="2:26" ht="15.75" x14ac:dyDescent="0.25">
      <c r="B29" s="1"/>
      <c r="C29" t="s">
        <v>40</v>
      </c>
      <c r="D29" s="41">
        <f>G21</f>
        <v>42.494444444444447</v>
      </c>
      <c r="F29" t="s">
        <v>39</v>
      </c>
      <c r="G29" s="27">
        <f>D28</f>
        <v>36.165555555555557</v>
      </c>
      <c r="H29" s="27">
        <f>G29+K30</f>
        <v>43.295715548416247</v>
      </c>
      <c r="I29" s="21" t="s">
        <v>57</v>
      </c>
      <c r="J29" s="1" t="s">
        <v>101</v>
      </c>
      <c r="K29" s="1">
        <v>3.65</v>
      </c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t="s">
        <v>41</v>
      </c>
      <c r="X29" t="s">
        <v>38</v>
      </c>
      <c r="Y29">
        <v>3</v>
      </c>
      <c r="Z29">
        <f>E12</f>
        <v>36.28</v>
      </c>
    </row>
    <row r="30" spans="2:26" ht="15.75" x14ac:dyDescent="0.25">
      <c r="B30" s="1"/>
      <c r="C30" s="1" t="s">
        <v>41</v>
      </c>
      <c r="D30" s="41">
        <f>G22</f>
        <v>33.864444444444445</v>
      </c>
      <c r="F30" s="1" t="s">
        <v>40</v>
      </c>
      <c r="G30" s="27">
        <f>D29</f>
        <v>42.494444444444447</v>
      </c>
      <c r="H30" s="21"/>
      <c r="I30" s="21" t="s">
        <v>61</v>
      </c>
      <c r="J30" s="21" t="s">
        <v>109</v>
      </c>
      <c r="K30" s="31">
        <f>K28*K29</f>
        <v>7.1301599928606922</v>
      </c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2:26" ht="15.75" customHeight="1" x14ac:dyDescent="0.25">
      <c r="C31" s="85" t="s">
        <v>119</v>
      </c>
      <c r="D31" s="85"/>
      <c r="E31" s="85"/>
      <c r="F31" s="85"/>
      <c r="G31" s="85"/>
      <c r="H31" s="85"/>
      <c r="I31" s="85"/>
      <c r="J31" s="85"/>
      <c r="K31" s="85"/>
    </row>
    <row r="32" spans="2:26" ht="15.75" customHeight="1" x14ac:dyDescent="0.25">
      <c r="C32" s="85"/>
      <c r="D32" s="85"/>
      <c r="E32" s="85"/>
      <c r="F32" s="85"/>
      <c r="G32" s="85"/>
      <c r="H32" s="85"/>
      <c r="I32" s="85"/>
      <c r="J32" s="85"/>
      <c r="K32" s="85"/>
    </row>
    <row r="34" spans="3:16" x14ac:dyDescent="0.25">
      <c r="C34" t="s">
        <v>0</v>
      </c>
      <c r="D34" t="s">
        <v>49</v>
      </c>
      <c r="F34" t="s">
        <v>96</v>
      </c>
      <c r="H34" t="s">
        <v>94</v>
      </c>
      <c r="I34" t="s">
        <v>95</v>
      </c>
      <c r="J34" s="78" t="s">
        <v>104</v>
      </c>
      <c r="K34" s="78"/>
    </row>
    <row r="35" spans="3:16" x14ac:dyDescent="0.25">
      <c r="C35" t="s">
        <v>36</v>
      </c>
      <c r="D35" s="41">
        <f>C24</f>
        <v>35.57</v>
      </c>
      <c r="F35" t="s">
        <v>36</v>
      </c>
      <c r="G35" s="41">
        <f>D35</f>
        <v>35.57</v>
      </c>
      <c r="H35" s="41">
        <f>G35+K37</f>
        <v>42.700159992860691</v>
      </c>
      <c r="I35" t="s">
        <v>59</v>
      </c>
      <c r="J35" t="s">
        <v>111</v>
      </c>
      <c r="K35" s="49">
        <f>SQRT(L18/(J4*J5))</f>
        <v>1.9534684911947102</v>
      </c>
    </row>
    <row r="36" spans="3:16" x14ac:dyDescent="0.25">
      <c r="C36" t="s">
        <v>37</v>
      </c>
      <c r="D36" s="41">
        <f>D24</f>
        <v>39.42</v>
      </c>
      <c r="F36" t="s">
        <v>38</v>
      </c>
      <c r="G36" s="41">
        <f>D37</f>
        <v>37.534444444444446</v>
      </c>
      <c r="I36" t="s">
        <v>59</v>
      </c>
      <c r="J36" t="s">
        <v>42</v>
      </c>
      <c r="K36">
        <v>3.65</v>
      </c>
    </row>
    <row r="37" spans="3:16" x14ac:dyDescent="0.25">
      <c r="C37" t="s">
        <v>38</v>
      </c>
      <c r="D37" s="41">
        <f>E24</f>
        <v>37.534444444444446</v>
      </c>
      <c r="F37" t="s">
        <v>37</v>
      </c>
      <c r="G37" s="41">
        <f>D36</f>
        <v>39.42</v>
      </c>
      <c r="I37" t="s">
        <v>59</v>
      </c>
      <c r="J37" t="s">
        <v>43</v>
      </c>
      <c r="K37" s="49">
        <f>K35*K36</f>
        <v>7.1301599928606922</v>
      </c>
    </row>
    <row r="38" spans="3:16" x14ac:dyDescent="0.25">
      <c r="C38" s="86" t="s">
        <v>120</v>
      </c>
      <c r="D38" s="86"/>
      <c r="E38" s="86"/>
      <c r="F38" s="86"/>
      <c r="G38" s="86"/>
      <c r="H38" s="86"/>
      <c r="I38" s="86"/>
      <c r="J38" s="86"/>
      <c r="K38" s="86"/>
    </row>
    <row r="40" spans="3:16" x14ac:dyDescent="0.25">
      <c r="H40" s="61"/>
      <c r="I40" s="61"/>
      <c r="J40" s="61"/>
      <c r="K40" s="61"/>
      <c r="L40" s="61"/>
      <c r="M40" s="61"/>
      <c r="N40" s="61"/>
      <c r="O40" s="61"/>
      <c r="P40" s="61"/>
    </row>
    <row r="41" spans="3:16" x14ac:dyDescent="0.25">
      <c r="C41" t="s">
        <v>0</v>
      </c>
      <c r="D41" t="s">
        <v>49</v>
      </c>
      <c r="F41" t="s">
        <v>99</v>
      </c>
      <c r="H41" t="s">
        <v>94</v>
      </c>
      <c r="I41" t="s">
        <v>95</v>
      </c>
      <c r="J41" s="78" t="s">
        <v>110</v>
      </c>
      <c r="K41" s="78"/>
    </row>
    <row r="42" spans="3:16" x14ac:dyDescent="0.25">
      <c r="C42" t="s">
        <v>8</v>
      </c>
      <c r="D42" s="41">
        <f>G4</f>
        <v>36.893333333333331</v>
      </c>
      <c r="F42" t="s">
        <v>17</v>
      </c>
      <c r="G42" s="41">
        <f>D48</f>
        <v>30.733333333333334</v>
      </c>
      <c r="H42" s="41">
        <f>G42+K44</f>
        <v>46.162123783801079</v>
      </c>
      <c r="I42" t="s">
        <v>59</v>
      </c>
      <c r="J42" t="s">
        <v>111</v>
      </c>
      <c r="K42" s="49">
        <f>SQRT(L18/J5)</f>
        <v>3.3835066777341543</v>
      </c>
    </row>
    <row r="43" spans="3:16" x14ac:dyDescent="0.25">
      <c r="C43" t="s">
        <v>10</v>
      </c>
      <c r="D43" s="41">
        <f>G5</f>
        <v>35.32</v>
      </c>
      <c r="F43" t="s">
        <v>26</v>
      </c>
      <c r="G43" s="41">
        <f>D50</f>
        <v>33.063333333333333</v>
      </c>
      <c r="I43" t="s">
        <v>59</v>
      </c>
      <c r="J43" t="s">
        <v>101</v>
      </c>
      <c r="K43">
        <v>4.5599999999999996</v>
      </c>
    </row>
    <row r="44" spans="3:16" x14ac:dyDescent="0.25">
      <c r="C44" t="s">
        <v>12</v>
      </c>
      <c r="D44" s="41">
        <f t="shared" ref="D44:D50" si="4">G6</f>
        <v>36.283333333333331</v>
      </c>
      <c r="F44" t="s">
        <v>10</v>
      </c>
      <c r="G44" s="41">
        <f>D43</f>
        <v>35.32</v>
      </c>
      <c r="I44" t="s">
        <v>59</v>
      </c>
      <c r="J44" t="s">
        <v>43</v>
      </c>
      <c r="K44" s="49">
        <f>K42*K43</f>
        <v>15.428790450467742</v>
      </c>
    </row>
    <row r="45" spans="3:16" x14ac:dyDescent="0.25">
      <c r="C45" t="s">
        <v>13</v>
      </c>
      <c r="D45" s="41">
        <f t="shared" si="4"/>
        <v>39.083333333333336</v>
      </c>
      <c r="F45" t="s">
        <v>12</v>
      </c>
      <c r="G45" s="41">
        <f>D44</f>
        <v>36.283333333333331</v>
      </c>
      <c r="I45" t="s">
        <v>59</v>
      </c>
    </row>
    <row r="46" spans="3:16" x14ac:dyDescent="0.25">
      <c r="C46" t="s">
        <v>15</v>
      </c>
      <c r="D46" s="41">
        <f t="shared" si="4"/>
        <v>45.143333333333338</v>
      </c>
      <c r="F46" t="s">
        <v>8</v>
      </c>
      <c r="G46" s="41">
        <f>D42</f>
        <v>36.893333333333331</v>
      </c>
      <c r="I46" t="s">
        <v>59</v>
      </c>
    </row>
    <row r="47" spans="3:16" x14ac:dyDescent="0.25">
      <c r="C47" t="s">
        <v>16</v>
      </c>
      <c r="D47" s="41">
        <f t="shared" si="4"/>
        <v>43.256666666666668</v>
      </c>
      <c r="F47" t="s">
        <v>18</v>
      </c>
      <c r="G47" s="41">
        <f>D49</f>
        <v>37.796666666666674</v>
      </c>
      <c r="I47" t="s">
        <v>59</v>
      </c>
    </row>
    <row r="48" spans="3:16" x14ac:dyDescent="0.25">
      <c r="C48" t="s">
        <v>17</v>
      </c>
      <c r="D48" s="41">
        <f t="shared" si="4"/>
        <v>30.733333333333334</v>
      </c>
      <c r="F48" t="s">
        <v>13</v>
      </c>
      <c r="G48" s="41">
        <f>D45</f>
        <v>39.083333333333336</v>
      </c>
      <c r="I48" t="s">
        <v>59</v>
      </c>
    </row>
    <row r="49" spans="3:9" x14ac:dyDescent="0.25">
      <c r="C49" t="s">
        <v>18</v>
      </c>
      <c r="D49" s="41">
        <f t="shared" si="4"/>
        <v>37.796666666666674</v>
      </c>
      <c r="F49" t="s">
        <v>16</v>
      </c>
      <c r="G49" s="41">
        <f>D47</f>
        <v>43.256666666666668</v>
      </c>
      <c r="I49" t="s">
        <v>59</v>
      </c>
    </row>
    <row r="50" spans="3:9" x14ac:dyDescent="0.25">
      <c r="C50" t="s">
        <v>26</v>
      </c>
      <c r="D50" s="41">
        <f t="shared" si="4"/>
        <v>33.063333333333333</v>
      </c>
      <c r="F50" t="s">
        <v>15</v>
      </c>
      <c r="G50" s="41">
        <f>D46</f>
        <v>45.143333333333338</v>
      </c>
      <c r="I50" t="s">
        <v>59</v>
      </c>
    </row>
  </sheetData>
  <mergeCells count="19">
    <mergeCell ref="N21:U24"/>
    <mergeCell ref="C31:K32"/>
    <mergeCell ref="C38:K38"/>
    <mergeCell ref="L11:L12"/>
    <mergeCell ref="M11:M12"/>
    <mergeCell ref="N11:O11"/>
    <mergeCell ref="P11:P12"/>
    <mergeCell ref="J27:K27"/>
    <mergeCell ref="J34:K34"/>
    <mergeCell ref="G2:G3"/>
    <mergeCell ref="K11:K12"/>
    <mergeCell ref="I11:I12"/>
    <mergeCell ref="J11:J12"/>
    <mergeCell ref="H2:H3"/>
    <mergeCell ref="J41:K41"/>
    <mergeCell ref="B18:B19"/>
    <mergeCell ref="C18:E18"/>
    <mergeCell ref="F18:F19"/>
    <mergeCell ref="G18:G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Z59"/>
  <sheetViews>
    <sheetView topLeftCell="A30" zoomScale="77" zoomScaleNormal="77" workbookViewId="0">
      <selection activeCell="L26" sqref="L26"/>
    </sheetView>
  </sheetViews>
  <sheetFormatPr defaultRowHeight="15" x14ac:dyDescent="0.25"/>
  <cols>
    <col min="2" max="2" width="18.28515625" customWidth="1"/>
    <col min="3" max="3" width="10.140625" bestFit="1" customWidth="1"/>
    <col min="6" max="6" width="13.7109375" customWidth="1"/>
    <col min="7" max="7" width="13.85546875" customWidth="1"/>
    <col min="9" max="9" width="16" customWidth="1"/>
    <col min="10" max="10" width="14" customWidth="1"/>
    <col min="11" max="11" width="14.85546875" customWidth="1"/>
    <col min="12" max="12" width="12.28515625" customWidth="1"/>
  </cols>
  <sheetData>
    <row r="2" spans="2:26" ht="15.75" x14ac:dyDescent="0.25">
      <c r="B2" s="77" t="s">
        <v>0</v>
      </c>
      <c r="C2" s="77" t="s">
        <v>1</v>
      </c>
      <c r="D2" s="77"/>
      <c r="E2" s="77"/>
      <c r="F2" s="77" t="s">
        <v>2</v>
      </c>
      <c r="G2" s="77" t="s">
        <v>3</v>
      </c>
      <c r="H2" s="1"/>
      <c r="I2" s="1"/>
      <c r="J2" s="1"/>
      <c r="K2" s="1"/>
      <c r="L2" s="1"/>
      <c r="M2" s="1"/>
      <c r="N2" s="1"/>
      <c r="O2" s="1"/>
      <c r="P2" s="1"/>
      <c r="W2" t="s">
        <v>51</v>
      </c>
      <c r="X2" t="s">
        <v>60</v>
      </c>
      <c r="Y2" t="s">
        <v>62</v>
      </c>
      <c r="Z2" t="s">
        <v>54</v>
      </c>
    </row>
    <row r="3" spans="2:26" ht="15.75" x14ac:dyDescent="0.25">
      <c r="B3" s="77"/>
      <c r="C3" s="2" t="s">
        <v>4</v>
      </c>
      <c r="D3" s="2" t="s">
        <v>5</v>
      </c>
      <c r="E3" s="2" t="s">
        <v>6</v>
      </c>
      <c r="F3" s="77"/>
      <c r="G3" s="77"/>
      <c r="H3" s="1"/>
      <c r="I3" s="3" t="s">
        <v>7</v>
      </c>
      <c r="J3" s="1">
        <v>3</v>
      </c>
      <c r="K3" s="1"/>
      <c r="L3" s="1"/>
      <c r="M3" s="1"/>
      <c r="N3" s="1"/>
      <c r="O3" s="1"/>
      <c r="P3" s="1"/>
      <c r="W3" t="s">
        <v>39</v>
      </c>
      <c r="X3" t="s">
        <v>36</v>
      </c>
      <c r="Y3">
        <v>1</v>
      </c>
      <c r="Z3">
        <f>C4</f>
        <v>80.400000000000006</v>
      </c>
    </row>
    <row r="4" spans="2:26" ht="15.75" x14ac:dyDescent="0.25">
      <c r="B4" s="4" t="s">
        <v>79</v>
      </c>
      <c r="C4" s="4">
        <v>80.400000000000006</v>
      </c>
      <c r="D4" s="4">
        <v>85.84</v>
      </c>
      <c r="E4" s="4">
        <v>88.13</v>
      </c>
      <c r="F4" s="4">
        <f>SUM(C4:E4)</f>
        <v>254.37</v>
      </c>
      <c r="G4" s="5">
        <f>AVERAGE(C4:E4)</f>
        <v>84.79</v>
      </c>
      <c r="H4" s="6">
        <f>STDEV(C4:E4)</f>
        <v>3.9705289320190031</v>
      </c>
      <c r="I4" s="3" t="s">
        <v>9</v>
      </c>
      <c r="J4" s="1">
        <v>3</v>
      </c>
      <c r="K4" s="1"/>
      <c r="L4" s="1"/>
      <c r="M4" s="1"/>
      <c r="N4" s="1"/>
      <c r="O4" s="1"/>
      <c r="P4" s="1"/>
      <c r="W4" t="s">
        <v>39</v>
      </c>
      <c r="X4" t="s">
        <v>36</v>
      </c>
      <c r="Y4">
        <v>2</v>
      </c>
      <c r="Z4">
        <f>D4</f>
        <v>85.84</v>
      </c>
    </row>
    <row r="5" spans="2:26" ht="15.75" x14ac:dyDescent="0.25">
      <c r="B5" s="4" t="s">
        <v>80</v>
      </c>
      <c r="C5" s="4">
        <v>87.85</v>
      </c>
      <c r="D5" s="4">
        <v>85.89</v>
      </c>
      <c r="E5" s="4">
        <v>86.09</v>
      </c>
      <c r="F5" s="4">
        <f t="shared" ref="F5:F12" si="0">SUM(C5:E5)</f>
        <v>259.83000000000004</v>
      </c>
      <c r="G5" s="5">
        <f t="shared" ref="G5:G12" si="1">AVERAGE(C5:E5)</f>
        <v>86.610000000000014</v>
      </c>
      <c r="H5" s="6">
        <f t="shared" ref="H5:H12" si="2">STDEV(C5:E5)</f>
        <v>1.0785175010170167</v>
      </c>
      <c r="I5" s="3" t="s">
        <v>11</v>
      </c>
      <c r="J5" s="1">
        <v>3</v>
      </c>
      <c r="K5" s="1"/>
      <c r="L5" s="1"/>
      <c r="M5" s="1"/>
      <c r="N5" s="1"/>
      <c r="O5" s="1"/>
      <c r="P5" s="1"/>
      <c r="W5" t="s">
        <v>39</v>
      </c>
      <c r="X5" t="s">
        <v>36</v>
      </c>
      <c r="Y5">
        <v>3</v>
      </c>
      <c r="Z5">
        <f>E4</f>
        <v>88.13</v>
      </c>
    </row>
    <row r="6" spans="2:26" ht="15.75" x14ac:dyDescent="0.25">
      <c r="B6" s="4" t="s">
        <v>87</v>
      </c>
      <c r="C6" s="4">
        <v>86.6</v>
      </c>
      <c r="D6" s="4" t="s">
        <v>88</v>
      </c>
      <c r="E6" s="4">
        <v>82.42</v>
      </c>
      <c r="F6" s="4">
        <f t="shared" si="0"/>
        <v>169.01999999999998</v>
      </c>
      <c r="G6" s="5">
        <f>AVERAGE(C6:E6)</f>
        <v>84.509999999999991</v>
      </c>
      <c r="H6" s="6">
        <f t="shared" si="2"/>
        <v>2.9557063453597632</v>
      </c>
      <c r="I6" s="1"/>
      <c r="J6" s="1"/>
      <c r="K6" s="1"/>
      <c r="L6" s="1"/>
      <c r="M6" s="1"/>
      <c r="N6" s="1"/>
      <c r="O6" s="1"/>
      <c r="P6" s="1"/>
      <c r="W6" t="s">
        <v>39</v>
      </c>
      <c r="X6" t="s">
        <v>37</v>
      </c>
      <c r="Y6">
        <v>1</v>
      </c>
      <c r="Z6">
        <f>C5</f>
        <v>87.85</v>
      </c>
    </row>
    <row r="7" spans="2:26" ht="15.75" x14ac:dyDescent="0.25">
      <c r="B7" s="4" t="s">
        <v>81</v>
      </c>
      <c r="C7" s="4" t="s">
        <v>89</v>
      </c>
      <c r="D7" s="4">
        <v>87.46</v>
      </c>
      <c r="E7" s="4">
        <v>87.27</v>
      </c>
      <c r="F7" s="4">
        <f t="shared" si="0"/>
        <v>174.73</v>
      </c>
      <c r="G7" s="5">
        <f>AVERAGE(C7:E7)</f>
        <v>87.364999999999995</v>
      </c>
      <c r="H7" s="6">
        <f t="shared" si="2"/>
        <v>0.13435028842544242</v>
      </c>
      <c r="I7" s="1" t="s">
        <v>14</v>
      </c>
      <c r="J7" s="7">
        <f>(F13^2)/(J3*J4*J5)</f>
        <v>165925.76148148146</v>
      </c>
      <c r="K7" s="1"/>
      <c r="L7" s="1"/>
      <c r="M7" s="1"/>
      <c r="N7" s="1"/>
      <c r="O7" s="1"/>
      <c r="P7" s="1"/>
      <c r="W7" t="s">
        <v>39</v>
      </c>
      <c r="X7" t="s">
        <v>37</v>
      </c>
      <c r="Y7">
        <v>2</v>
      </c>
      <c r="Z7">
        <f>D5</f>
        <v>85.89</v>
      </c>
    </row>
    <row r="8" spans="2:26" ht="15.75" x14ac:dyDescent="0.25">
      <c r="B8" s="4" t="s">
        <v>82</v>
      </c>
      <c r="C8" s="4">
        <v>86.7</v>
      </c>
      <c r="D8" s="4">
        <v>89.16</v>
      </c>
      <c r="E8" s="4">
        <v>80.5</v>
      </c>
      <c r="F8" s="4">
        <f t="shared" si="0"/>
        <v>256.36</v>
      </c>
      <c r="G8" s="5">
        <f t="shared" si="1"/>
        <v>85.453333333333333</v>
      </c>
      <c r="H8" s="6">
        <f t="shared" si="2"/>
        <v>4.4625702608847879</v>
      </c>
      <c r="I8" s="1"/>
      <c r="J8" s="1"/>
      <c r="K8" s="1"/>
      <c r="L8" s="1"/>
      <c r="M8" s="1"/>
      <c r="N8" s="1"/>
      <c r="O8" s="1"/>
      <c r="P8" s="1"/>
      <c r="W8" t="s">
        <v>39</v>
      </c>
      <c r="X8" t="s">
        <v>37</v>
      </c>
      <c r="Y8">
        <v>3</v>
      </c>
      <c r="Z8">
        <f>E5</f>
        <v>86.09</v>
      </c>
    </row>
    <row r="9" spans="2:26" ht="15.75" x14ac:dyDescent="0.25">
      <c r="B9" s="4" t="s">
        <v>83</v>
      </c>
      <c r="C9" s="4">
        <v>82.14</v>
      </c>
      <c r="D9" s="4">
        <v>79.77</v>
      </c>
      <c r="E9" s="4">
        <v>82.79</v>
      </c>
      <c r="F9" s="4">
        <f t="shared" si="0"/>
        <v>244.7</v>
      </c>
      <c r="G9" s="5">
        <f t="shared" si="1"/>
        <v>81.566666666666663</v>
      </c>
      <c r="H9" s="6">
        <f t="shared" si="2"/>
        <v>1.589538717154555</v>
      </c>
      <c r="I9" s="1"/>
      <c r="J9" s="1"/>
      <c r="K9" s="1"/>
      <c r="L9" s="1"/>
      <c r="M9" s="1"/>
      <c r="N9" s="1"/>
      <c r="O9" s="1"/>
      <c r="P9" s="1"/>
      <c r="W9" t="s">
        <v>39</v>
      </c>
      <c r="X9" t="s">
        <v>38</v>
      </c>
      <c r="Y9">
        <v>1</v>
      </c>
      <c r="Z9">
        <f>C6</f>
        <v>86.6</v>
      </c>
    </row>
    <row r="10" spans="2:26" ht="15.75" x14ac:dyDescent="0.25">
      <c r="B10" s="4" t="s">
        <v>84</v>
      </c>
      <c r="C10" s="4">
        <v>86.12</v>
      </c>
      <c r="D10" s="4">
        <v>86.59</v>
      </c>
      <c r="E10" s="4">
        <v>85.45</v>
      </c>
      <c r="F10" s="4">
        <f t="shared" si="0"/>
        <v>258.16000000000003</v>
      </c>
      <c r="G10" s="5">
        <f t="shared" si="1"/>
        <v>86.053333333333342</v>
      </c>
      <c r="H10" s="6">
        <f t="shared" si="2"/>
        <v>0.57291651515149544</v>
      </c>
      <c r="I10" s="1"/>
      <c r="J10" s="1"/>
      <c r="K10" s="1"/>
      <c r="L10" s="1"/>
      <c r="M10" s="1"/>
      <c r="N10" s="1"/>
      <c r="O10" s="1"/>
      <c r="P10" s="1"/>
      <c r="W10" t="s">
        <v>39</v>
      </c>
      <c r="X10" t="s">
        <v>38</v>
      </c>
      <c r="Y10">
        <v>2</v>
      </c>
      <c r="Z10" t="str">
        <f>D6</f>
        <v>87,38</v>
      </c>
    </row>
    <row r="11" spans="2:26" ht="15.75" x14ac:dyDescent="0.25">
      <c r="B11" s="4" t="s">
        <v>85</v>
      </c>
      <c r="C11" s="4">
        <v>85.3</v>
      </c>
      <c r="D11" s="4">
        <v>79.17</v>
      </c>
      <c r="E11" s="4">
        <v>85.08</v>
      </c>
      <c r="F11" s="4">
        <f t="shared" si="0"/>
        <v>249.55</v>
      </c>
      <c r="G11" s="5">
        <f t="shared" si="1"/>
        <v>83.183333333333337</v>
      </c>
      <c r="H11" s="6">
        <f t="shared" si="2"/>
        <v>3.4773888671434663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W11" t="s">
        <v>39</v>
      </c>
      <c r="X11" t="s">
        <v>38</v>
      </c>
      <c r="Y11">
        <v>3</v>
      </c>
      <c r="Z11">
        <f>E6</f>
        <v>82.42</v>
      </c>
    </row>
    <row r="12" spans="2:26" ht="15.75" x14ac:dyDescent="0.25">
      <c r="B12" s="4" t="s">
        <v>86</v>
      </c>
      <c r="C12" s="4">
        <v>77.260000000000005</v>
      </c>
      <c r="D12" s="4">
        <v>85.29</v>
      </c>
      <c r="E12" s="4">
        <v>87.33</v>
      </c>
      <c r="F12" s="4">
        <f t="shared" si="0"/>
        <v>249.88</v>
      </c>
      <c r="G12" s="5">
        <f t="shared" si="1"/>
        <v>83.293333333333337</v>
      </c>
      <c r="H12" s="6">
        <f t="shared" si="2"/>
        <v>5.3236484982888665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W12" t="s">
        <v>40</v>
      </c>
      <c r="X12" t="s">
        <v>36</v>
      </c>
      <c r="Y12">
        <v>1</v>
      </c>
      <c r="Z12" t="str">
        <f>C7</f>
        <v>83,29</v>
      </c>
    </row>
    <row r="13" spans="2:26" ht="15.75" x14ac:dyDescent="0.25">
      <c r="B13" s="2" t="s">
        <v>2</v>
      </c>
      <c r="C13" s="4">
        <f>SUM(C4:C12)</f>
        <v>672.37</v>
      </c>
      <c r="D13" s="4">
        <f>SUM(D4:D12)</f>
        <v>679.17</v>
      </c>
      <c r="E13" s="4">
        <f>SUM(E4:E12)</f>
        <v>765.06000000000006</v>
      </c>
      <c r="F13" s="10">
        <f>SUM(F4:F12)</f>
        <v>2116.6</v>
      </c>
      <c r="G13" s="11"/>
      <c r="H13" s="1"/>
      <c r="I13" s="1" t="s">
        <v>27</v>
      </c>
      <c r="J13" s="21">
        <f>(J5-1)</f>
        <v>2</v>
      </c>
      <c r="K13" s="12">
        <f>SUMSQ(C13:E13)/(J3*J4)-J7</f>
        <v>593.1395629629842</v>
      </c>
      <c r="L13" s="12">
        <f t="shared" ref="L13:L18" si="3">K13/J13</f>
        <v>296.5697814814921</v>
      </c>
      <c r="M13" s="13">
        <f>L13/L18</f>
        <v>0.5034286292438982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t="s">
        <v>25</v>
      </c>
      <c r="S13" t="s">
        <v>28</v>
      </c>
      <c r="T13" t="s">
        <v>29</v>
      </c>
      <c r="W13" t="s">
        <v>40</v>
      </c>
      <c r="X13" t="s">
        <v>36</v>
      </c>
      <c r="Y13">
        <v>2</v>
      </c>
      <c r="Z13">
        <f>D7</f>
        <v>87.46</v>
      </c>
    </row>
    <row r="14" spans="2:26" ht="15.75" x14ac:dyDescent="0.25">
      <c r="B14" s="1"/>
      <c r="C14" s="1"/>
      <c r="D14" s="1"/>
      <c r="E14" s="1"/>
      <c r="F14" s="1"/>
      <c r="G14" s="1"/>
      <c r="H14" s="1"/>
      <c r="I14" s="1" t="s">
        <v>0</v>
      </c>
      <c r="J14" s="21">
        <f>(J3*J4-1)</f>
        <v>8</v>
      </c>
      <c r="K14" s="12">
        <f>SUMSQ(F4:F12)/J5-J7</f>
        <v>3499.0389185185195</v>
      </c>
      <c r="L14" s="12">
        <f t="shared" si="3"/>
        <v>437.37986481481494</v>
      </c>
      <c r="M14" s="13">
        <f>L14/L18</f>
        <v>0.74245442237123227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tn</v>
      </c>
      <c r="S14" t="s">
        <v>30</v>
      </c>
      <c r="T14" t="s">
        <v>31</v>
      </c>
      <c r="W14" t="s">
        <v>40</v>
      </c>
      <c r="X14" t="s">
        <v>36</v>
      </c>
      <c r="Y14">
        <v>3</v>
      </c>
      <c r="Z14">
        <f>E7</f>
        <v>87.27</v>
      </c>
    </row>
    <row r="15" spans="2:26" ht="15.75" x14ac:dyDescent="0.25">
      <c r="B15" s="1"/>
      <c r="C15" s="1"/>
      <c r="D15" s="1"/>
      <c r="E15" s="1"/>
      <c r="F15" s="1"/>
      <c r="G15" s="1"/>
      <c r="H15" s="1"/>
      <c r="I15" s="24" t="s">
        <v>7</v>
      </c>
      <c r="J15" s="21">
        <f>(J3-1)</f>
        <v>2</v>
      </c>
      <c r="K15" s="12">
        <f>SUMSQ(F20:F22)/(J3*J5)-J7</f>
        <v>454.71636296299403</v>
      </c>
      <c r="L15" s="12">
        <f t="shared" si="3"/>
        <v>227.35818148149701</v>
      </c>
      <c r="M15" s="13">
        <f>L15/L18</f>
        <v>0.38594160564453345</v>
      </c>
      <c r="N15" s="13">
        <f>FINV(N12,J15,J18)</f>
        <v>3.6337234675916301</v>
      </c>
      <c r="O15" s="13">
        <f>FINV(O12,J15,J18)</f>
        <v>6.2262352803113821</v>
      </c>
      <c r="P15" s="1" t="str">
        <f>IF(M15&lt;N15,"tn",IF(M15&lt;O15,"*","**"))</f>
        <v>tn</v>
      </c>
      <c r="S15" t="s">
        <v>32</v>
      </c>
      <c r="T15" t="s">
        <v>33</v>
      </c>
      <c r="W15" t="s">
        <v>40</v>
      </c>
      <c r="X15" t="s">
        <v>37</v>
      </c>
      <c r="Y15">
        <v>1</v>
      </c>
      <c r="Z15">
        <f>C8</f>
        <v>86.7</v>
      </c>
    </row>
    <row r="16" spans="2:26" ht="15.75" x14ac:dyDescent="0.25">
      <c r="B16" s="1"/>
      <c r="C16" s="1"/>
      <c r="D16" s="1"/>
      <c r="E16" s="1"/>
      <c r="F16" s="1"/>
      <c r="G16" s="1"/>
      <c r="H16" s="1"/>
      <c r="I16" s="24" t="s">
        <v>9</v>
      </c>
      <c r="J16" s="21">
        <f>(J4-1)</f>
        <v>2</v>
      </c>
      <c r="K16" s="12">
        <f>SUMSQ(C23:E23)/(J4*J5)-J7</f>
        <v>635.2402074074198</v>
      </c>
      <c r="L16" s="12">
        <f t="shared" si="3"/>
        <v>317.6201037037099</v>
      </c>
      <c r="M16" s="13">
        <f>L16/L18</f>
        <v>0.53916165237435776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tn</v>
      </c>
      <c r="W16" t="s">
        <v>40</v>
      </c>
      <c r="X16" t="s">
        <v>37</v>
      </c>
      <c r="Y16">
        <v>2</v>
      </c>
      <c r="Z16">
        <f>D8</f>
        <v>89.16</v>
      </c>
    </row>
    <row r="17" spans="2:26" ht="15.75" x14ac:dyDescent="0.25">
      <c r="B17" s="1"/>
      <c r="C17" s="1"/>
      <c r="D17" s="1" t="s">
        <v>34</v>
      </c>
      <c r="E17" s="1"/>
      <c r="F17" s="1"/>
      <c r="G17" s="1"/>
      <c r="H17" s="1"/>
      <c r="I17" s="24" t="s">
        <v>44</v>
      </c>
      <c r="J17" s="21">
        <f>(J3-1)*(J4-1)</f>
        <v>4</v>
      </c>
      <c r="K17" s="12">
        <f>K14-K15-K16</f>
        <v>2409.0823481481057</v>
      </c>
      <c r="L17" s="12">
        <f t="shared" si="3"/>
        <v>602.27058703702642</v>
      </c>
      <c r="M17" s="13">
        <f>L17/L18</f>
        <v>1.022357215733019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tn</v>
      </c>
      <c r="W17" t="s">
        <v>40</v>
      </c>
      <c r="X17" t="s">
        <v>37</v>
      </c>
      <c r="Y17">
        <v>3</v>
      </c>
      <c r="Z17">
        <f>E8</f>
        <v>80.5</v>
      </c>
    </row>
    <row r="18" spans="2:26" ht="15.75" x14ac:dyDescent="0.25">
      <c r="B18" s="79" t="s">
        <v>7</v>
      </c>
      <c r="C18" s="79" t="s">
        <v>9</v>
      </c>
      <c r="D18" s="79"/>
      <c r="E18" s="79"/>
      <c r="F18" s="80" t="s">
        <v>2</v>
      </c>
      <c r="G18" s="80" t="s">
        <v>3</v>
      </c>
      <c r="H18" s="1"/>
      <c r="I18" s="1" t="s">
        <v>35</v>
      </c>
      <c r="J18" s="21">
        <f>(J3*J4-1)*(J5-1)</f>
        <v>16</v>
      </c>
      <c r="K18" s="12">
        <f>K19-K13-K14</f>
        <v>9425.5992370370077</v>
      </c>
      <c r="L18" s="12">
        <f t="shared" si="3"/>
        <v>589.09995231481298</v>
      </c>
      <c r="M18" s="14"/>
      <c r="N18" s="14"/>
      <c r="O18" s="14"/>
      <c r="P18" s="14"/>
      <c r="W18" t="s">
        <v>40</v>
      </c>
      <c r="X18" t="s">
        <v>38</v>
      </c>
      <c r="Y18">
        <v>1</v>
      </c>
      <c r="Z18">
        <f>C9</f>
        <v>82.14</v>
      </c>
    </row>
    <row r="19" spans="2:26" ht="15.75" x14ac:dyDescent="0.25">
      <c r="B19" s="79"/>
      <c r="C19" s="4" t="s">
        <v>36</v>
      </c>
      <c r="D19" s="4" t="s">
        <v>37</v>
      </c>
      <c r="E19" s="4" t="s">
        <v>38</v>
      </c>
      <c r="F19" s="80"/>
      <c r="G19" s="80"/>
      <c r="H19" s="1"/>
      <c r="I19" s="15" t="s">
        <v>2</v>
      </c>
      <c r="J19" s="33">
        <f>(J3*J4*J5-1)</f>
        <v>26</v>
      </c>
      <c r="K19" s="16">
        <f>SUMSQ(C4:E12)-J7</f>
        <v>13517.777718518511</v>
      </c>
      <c r="L19" s="17"/>
      <c r="M19" s="17"/>
      <c r="N19" s="17"/>
      <c r="O19" s="17"/>
      <c r="P19" s="17"/>
      <c r="W19" t="s">
        <v>40</v>
      </c>
      <c r="X19" t="s">
        <v>38</v>
      </c>
      <c r="Y19">
        <v>2</v>
      </c>
      <c r="Z19">
        <f>D9</f>
        <v>79.77</v>
      </c>
    </row>
    <row r="20" spans="2:26" ht="15.75" x14ac:dyDescent="0.25">
      <c r="B20" s="4" t="s">
        <v>39</v>
      </c>
      <c r="C20" s="4">
        <f>F4</f>
        <v>254.37</v>
      </c>
      <c r="D20" s="4">
        <f>F5</f>
        <v>259.83000000000004</v>
      </c>
      <c r="E20" s="4">
        <f>F6</f>
        <v>169.01999999999998</v>
      </c>
      <c r="F20" s="8">
        <f>SUM(C20:E20)</f>
        <v>683.22</v>
      </c>
      <c r="G20" s="18">
        <f>F20/9</f>
        <v>75.913333333333341</v>
      </c>
      <c r="H20" s="1"/>
      <c r="I20" s="1"/>
      <c r="J20" s="1"/>
      <c r="K20" s="1"/>
      <c r="L20" s="1"/>
      <c r="M20" s="1"/>
      <c r="N20" s="1"/>
      <c r="O20" s="1"/>
      <c r="P20" s="1"/>
      <c r="W20" t="s">
        <v>40</v>
      </c>
      <c r="X20" t="s">
        <v>38</v>
      </c>
      <c r="Y20">
        <v>3</v>
      </c>
      <c r="Z20">
        <f>E9</f>
        <v>82.79</v>
      </c>
    </row>
    <row r="21" spans="2:26" ht="15.75" x14ac:dyDescent="0.25">
      <c r="B21" s="4" t="s">
        <v>40</v>
      </c>
      <c r="C21" s="4">
        <f>F7</f>
        <v>174.73</v>
      </c>
      <c r="D21" s="4">
        <f>F8</f>
        <v>256.36</v>
      </c>
      <c r="E21" s="4">
        <f>F9</f>
        <v>244.7</v>
      </c>
      <c r="F21" s="8">
        <f>SUM(C21:E21)</f>
        <v>675.79</v>
      </c>
      <c r="G21" s="18">
        <f>F21/9</f>
        <v>75.087777777777774</v>
      </c>
      <c r="H21" s="1"/>
      <c r="I21" s="1" t="s">
        <v>107</v>
      </c>
      <c r="J21" s="1"/>
      <c r="K21" s="1"/>
      <c r="L21" s="1"/>
      <c r="M21" s="1"/>
      <c r="N21" s="85" t="s">
        <v>151</v>
      </c>
      <c r="O21" s="85"/>
      <c r="P21" s="85"/>
      <c r="Q21" s="85"/>
      <c r="R21" s="85"/>
      <c r="S21" s="85"/>
      <c r="T21" s="85"/>
      <c r="U21" s="85"/>
      <c r="W21" t="s">
        <v>41</v>
      </c>
      <c r="X21" t="s">
        <v>36</v>
      </c>
      <c r="Y21">
        <v>1</v>
      </c>
      <c r="Z21">
        <f>C10</f>
        <v>86.12</v>
      </c>
    </row>
    <row r="22" spans="2:26" ht="15.75" x14ac:dyDescent="0.25">
      <c r="B22" s="4" t="s">
        <v>41</v>
      </c>
      <c r="C22" s="4">
        <f>F10</f>
        <v>258.16000000000003</v>
      </c>
      <c r="D22" s="4">
        <f>F11</f>
        <v>249.55</v>
      </c>
      <c r="E22" s="4">
        <f>F12</f>
        <v>249.88</v>
      </c>
      <c r="F22" s="8">
        <f>SUM(C22:E22)</f>
        <v>757.59</v>
      </c>
      <c r="G22" s="18">
        <f>F22/9</f>
        <v>84.176666666666677</v>
      </c>
      <c r="H22" s="1"/>
      <c r="I22" s="1"/>
      <c r="J22" s="1"/>
      <c r="K22" s="1"/>
      <c r="L22" s="1"/>
      <c r="M22" s="1"/>
      <c r="N22" s="85"/>
      <c r="O22" s="85"/>
      <c r="P22" s="85"/>
      <c r="Q22" s="85"/>
      <c r="R22" s="85"/>
      <c r="S22" s="85"/>
      <c r="T22" s="85"/>
      <c r="U22" s="85"/>
      <c r="W22" t="s">
        <v>41</v>
      </c>
      <c r="X22" t="s">
        <v>36</v>
      </c>
      <c r="Y22">
        <v>2</v>
      </c>
      <c r="Z22">
        <f>D10</f>
        <v>86.59</v>
      </c>
    </row>
    <row r="23" spans="2:26" ht="15.75" x14ac:dyDescent="0.25">
      <c r="B23" s="19" t="s">
        <v>2</v>
      </c>
      <c r="C23" s="8">
        <f>SUM(C20:C22)</f>
        <v>687.26</v>
      </c>
      <c r="D23" s="8">
        <f>SUM(D20:D22)</f>
        <v>765.74</v>
      </c>
      <c r="E23" s="8">
        <f>SUM(E20:E22)</f>
        <v>663.59999999999991</v>
      </c>
      <c r="F23" s="10">
        <f>SUM(F20:F22)</f>
        <v>2116.6</v>
      </c>
      <c r="G23" s="4"/>
      <c r="H23" s="1"/>
      <c r="I23" s="1"/>
      <c r="J23" s="1"/>
      <c r="K23" s="1"/>
      <c r="L23" s="1"/>
      <c r="M23" s="1"/>
      <c r="N23" s="85"/>
      <c r="O23" s="85"/>
      <c r="P23" s="85"/>
      <c r="Q23" s="85"/>
      <c r="R23" s="85"/>
      <c r="S23" s="85"/>
      <c r="T23" s="85"/>
      <c r="U23" s="85"/>
      <c r="W23" t="s">
        <v>41</v>
      </c>
      <c r="X23" t="s">
        <v>36</v>
      </c>
      <c r="Y23">
        <v>3</v>
      </c>
      <c r="Z23">
        <f>E10</f>
        <v>85.45</v>
      </c>
    </row>
    <row r="24" spans="2:26" ht="15.75" x14ac:dyDescent="0.25">
      <c r="B24" s="19" t="s">
        <v>3</v>
      </c>
      <c r="C24" s="18">
        <f>C23/9</f>
        <v>76.362222222222215</v>
      </c>
      <c r="D24" s="18">
        <f>D23/9</f>
        <v>85.082222222222228</v>
      </c>
      <c r="E24" s="18">
        <f>E23/9</f>
        <v>73.73333333333332</v>
      </c>
      <c r="F24" s="1"/>
      <c r="G24" s="1"/>
      <c r="H24" s="1"/>
      <c r="I24" s="22"/>
      <c r="J24" s="22"/>
      <c r="K24" s="22"/>
      <c r="L24" s="1"/>
      <c r="M24" s="1"/>
      <c r="N24" s="85"/>
      <c r="O24" s="85"/>
      <c r="P24" s="85"/>
      <c r="Q24" s="85"/>
      <c r="R24" s="85"/>
      <c r="S24" s="85"/>
      <c r="T24" s="85"/>
      <c r="U24" s="85"/>
      <c r="W24" t="s">
        <v>41</v>
      </c>
      <c r="X24" t="s">
        <v>37</v>
      </c>
      <c r="Y24">
        <v>1</v>
      </c>
      <c r="Z24">
        <f>C11</f>
        <v>85.3</v>
      </c>
    </row>
    <row r="25" spans="2:26" ht="15.75" x14ac:dyDescent="0.25">
      <c r="B25" s="1"/>
      <c r="C25" s="1"/>
      <c r="D25" s="1"/>
      <c r="E25" s="1"/>
      <c r="F25" s="1"/>
      <c r="G25" s="1"/>
      <c r="H25" s="1"/>
      <c r="I25" s="50"/>
      <c r="J25" s="22"/>
      <c r="K25" s="23"/>
      <c r="L25" s="1"/>
      <c r="M25" s="1"/>
      <c r="N25" s="1"/>
      <c r="O25" s="1"/>
      <c r="P25" s="1"/>
      <c r="W25" t="s">
        <v>41</v>
      </c>
      <c r="X25" t="s">
        <v>37</v>
      </c>
      <c r="Y25">
        <v>2</v>
      </c>
      <c r="Z25">
        <f>D11</f>
        <v>79.17</v>
      </c>
    </row>
    <row r="26" spans="2:26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W26" t="s">
        <v>41</v>
      </c>
      <c r="X26" t="s">
        <v>37</v>
      </c>
      <c r="Y26">
        <v>3</v>
      </c>
      <c r="Z26">
        <f>E11</f>
        <v>85.08</v>
      </c>
    </row>
    <row r="27" spans="2:26" x14ac:dyDescent="0.25">
      <c r="B27" t="s">
        <v>0</v>
      </c>
      <c r="C27" t="s">
        <v>49</v>
      </c>
      <c r="E27" s="78" t="s">
        <v>99</v>
      </c>
      <c r="F27" s="78"/>
      <c r="G27" t="s">
        <v>94</v>
      </c>
      <c r="H27" t="s">
        <v>95</v>
      </c>
      <c r="I27" s="78" t="s">
        <v>103</v>
      </c>
      <c r="J27" s="78"/>
      <c r="W27" t="s">
        <v>41</v>
      </c>
      <c r="X27" t="s">
        <v>38</v>
      </c>
      <c r="Y27">
        <v>1</v>
      </c>
      <c r="Z27">
        <f>C12</f>
        <v>77.260000000000005</v>
      </c>
    </row>
    <row r="28" spans="2:26" x14ac:dyDescent="0.25">
      <c r="B28" t="s">
        <v>39</v>
      </c>
      <c r="C28" s="41">
        <f>G20</f>
        <v>75.913333333333341</v>
      </c>
      <c r="E28" t="s">
        <v>40</v>
      </c>
      <c r="F28" s="41">
        <f>C29</f>
        <v>75.087777777777774</v>
      </c>
      <c r="G28" s="41">
        <f>F28+J30</f>
        <v>104.61795841219933</v>
      </c>
      <c r="H28" t="s">
        <v>59</v>
      </c>
      <c r="I28" t="s">
        <v>111</v>
      </c>
      <c r="J28" s="49">
        <f>SQRT(L18/(J3*J5))</f>
        <v>8.0904604477867288</v>
      </c>
      <c r="W28" t="s">
        <v>41</v>
      </c>
      <c r="X28" t="s">
        <v>38</v>
      </c>
      <c r="Y28">
        <v>2</v>
      </c>
      <c r="Z28">
        <f>D12</f>
        <v>85.29</v>
      </c>
    </row>
    <row r="29" spans="2:26" x14ac:dyDescent="0.25">
      <c r="B29" t="s">
        <v>40</v>
      </c>
      <c r="C29" s="41">
        <f>G21</f>
        <v>75.087777777777774</v>
      </c>
      <c r="E29" t="s">
        <v>39</v>
      </c>
      <c r="F29" s="41">
        <f>C28</f>
        <v>75.913333333333341</v>
      </c>
      <c r="H29" t="s">
        <v>59</v>
      </c>
      <c r="I29" t="s">
        <v>42</v>
      </c>
      <c r="J29">
        <v>3.65</v>
      </c>
      <c r="W29" t="s">
        <v>41</v>
      </c>
      <c r="X29" t="s">
        <v>38</v>
      </c>
      <c r="Y29">
        <v>3</v>
      </c>
      <c r="Z29">
        <f>E12</f>
        <v>87.33</v>
      </c>
    </row>
    <row r="30" spans="2:26" x14ac:dyDescent="0.25">
      <c r="B30" t="s">
        <v>41</v>
      </c>
      <c r="C30" s="41">
        <f>G22</f>
        <v>84.176666666666677</v>
      </c>
      <c r="E30" t="s">
        <v>41</v>
      </c>
      <c r="F30" s="41">
        <f>C30</f>
        <v>84.176666666666677</v>
      </c>
      <c r="H30" t="s">
        <v>59</v>
      </c>
      <c r="I30" t="s">
        <v>43</v>
      </c>
      <c r="J30" s="49">
        <f>J28*J29</f>
        <v>29.530180634421558</v>
      </c>
    </row>
    <row r="31" spans="2:26" x14ac:dyDescent="0.25">
      <c r="B31" s="86" t="s">
        <v>121</v>
      </c>
      <c r="C31" s="86"/>
      <c r="D31" s="86"/>
      <c r="E31" s="86"/>
      <c r="F31" s="86"/>
      <c r="G31" s="86"/>
      <c r="H31" s="86"/>
      <c r="I31" s="86"/>
      <c r="J31" s="86"/>
    </row>
    <row r="32" spans="2:26" x14ac:dyDescent="0.25">
      <c r="C32" s="41"/>
      <c r="F32" s="41"/>
      <c r="J32" s="49"/>
      <c r="W32" t="s">
        <v>51</v>
      </c>
      <c r="X32" t="s">
        <v>60</v>
      </c>
      <c r="Y32" t="s">
        <v>62</v>
      </c>
      <c r="Z32" t="s">
        <v>54</v>
      </c>
    </row>
    <row r="33" spans="2:26" x14ac:dyDescent="0.25">
      <c r="W33" t="s">
        <v>39</v>
      </c>
      <c r="X33" t="s">
        <v>36</v>
      </c>
      <c r="Y33">
        <v>1</v>
      </c>
      <c r="Z33">
        <f>C4</f>
        <v>80.400000000000006</v>
      </c>
    </row>
    <row r="34" spans="2:26" x14ac:dyDescent="0.25">
      <c r="B34" t="s">
        <v>0</v>
      </c>
      <c r="C34" t="s">
        <v>49</v>
      </c>
      <c r="E34" s="78" t="s">
        <v>96</v>
      </c>
      <c r="F34" s="78"/>
      <c r="G34" t="s">
        <v>94</v>
      </c>
      <c r="H34" t="s">
        <v>95</v>
      </c>
      <c r="I34" s="78" t="s">
        <v>104</v>
      </c>
      <c r="J34" s="78"/>
      <c r="W34" t="s">
        <v>39</v>
      </c>
      <c r="X34" t="s">
        <v>36</v>
      </c>
      <c r="Y34">
        <v>2</v>
      </c>
      <c r="Z34">
        <f>D4</f>
        <v>85.84</v>
      </c>
    </row>
    <row r="35" spans="2:26" x14ac:dyDescent="0.25">
      <c r="B35" t="s">
        <v>36</v>
      </c>
      <c r="C35" s="41">
        <f>C24</f>
        <v>76.362222222222215</v>
      </c>
      <c r="E35" t="s">
        <v>38</v>
      </c>
      <c r="F35" s="41">
        <f>C37</f>
        <v>73.73333333333332</v>
      </c>
      <c r="G35" s="41">
        <f>F35+J37</f>
        <v>103.26351396775488</v>
      </c>
      <c r="H35" t="s">
        <v>59</v>
      </c>
      <c r="I35" t="s">
        <v>111</v>
      </c>
      <c r="J35" s="49">
        <f>SQRT(L18/(J4*J5))</f>
        <v>8.0904604477867288</v>
      </c>
      <c r="W35" t="s">
        <v>39</v>
      </c>
      <c r="X35" t="s">
        <v>36</v>
      </c>
      <c r="Y35">
        <v>3</v>
      </c>
      <c r="Z35">
        <f>E4</f>
        <v>88.13</v>
      </c>
    </row>
    <row r="36" spans="2:26" x14ac:dyDescent="0.25">
      <c r="B36" t="s">
        <v>37</v>
      </c>
      <c r="C36" s="41">
        <f>D24</f>
        <v>85.082222222222228</v>
      </c>
      <c r="E36" t="s">
        <v>36</v>
      </c>
      <c r="F36" s="41">
        <f>C35</f>
        <v>76.362222222222215</v>
      </c>
      <c r="H36" t="s">
        <v>59</v>
      </c>
      <c r="I36" t="s">
        <v>42</v>
      </c>
      <c r="J36">
        <f>3.65</f>
        <v>3.65</v>
      </c>
      <c r="W36" t="s">
        <v>39</v>
      </c>
      <c r="X36" t="s">
        <v>37</v>
      </c>
      <c r="Y36">
        <v>1</v>
      </c>
      <c r="Z36">
        <f>C5</f>
        <v>87.85</v>
      </c>
    </row>
    <row r="37" spans="2:26" x14ac:dyDescent="0.25">
      <c r="B37" t="s">
        <v>38</v>
      </c>
      <c r="C37" s="41">
        <f>E24</f>
        <v>73.73333333333332</v>
      </c>
      <c r="E37" t="s">
        <v>37</v>
      </c>
      <c r="F37" s="41">
        <f>C36</f>
        <v>85.082222222222228</v>
      </c>
      <c r="H37" t="s">
        <v>59</v>
      </c>
      <c r="I37" t="s">
        <v>43</v>
      </c>
      <c r="J37" s="49">
        <f>J36*J35</f>
        <v>29.530180634421558</v>
      </c>
      <c r="W37" t="s">
        <v>39</v>
      </c>
      <c r="X37" t="s">
        <v>37</v>
      </c>
      <c r="Y37">
        <v>2</v>
      </c>
      <c r="Z37">
        <f>D5</f>
        <v>85.89</v>
      </c>
    </row>
    <row r="38" spans="2:26" x14ac:dyDescent="0.25">
      <c r="B38" s="86" t="s">
        <v>121</v>
      </c>
      <c r="C38" s="86"/>
      <c r="D38" s="86"/>
      <c r="E38" s="86"/>
      <c r="F38" s="86"/>
      <c r="G38" s="86"/>
      <c r="H38" s="86"/>
      <c r="I38" s="86"/>
      <c r="J38" s="86"/>
      <c r="N38" t="s">
        <v>78</v>
      </c>
      <c r="W38" t="s">
        <v>39</v>
      </c>
      <c r="X38" t="s">
        <v>37</v>
      </c>
      <c r="Y38">
        <v>3</v>
      </c>
      <c r="Z38">
        <f>E5</f>
        <v>86.09</v>
      </c>
    </row>
    <row r="39" spans="2:26" x14ac:dyDescent="0.25">
      <c r="C39" s="41"/>
      <c r="F39" s="41"/>
      <c r="J39" s="49"/>
      <c r="W39" t="s">
        <v>39</v>
      </c>
      <c r="X39" t="s">
        <v>38</v>
      </c>
      <c r="Y39">
        <v>1</v>
      </c>
      <c r="Z39">
        <f>C6</f>
        <v>86.6</v>
      </c>
    </row>
    <row r="40" spans="2:26" x14ac:dyDescent="0.25">
      <c r="W40" t="s">
        <v>39</v>
      </c>
      <c r="X40" t="s">
        <v>38</v>
      </c>
      <c r="Y40">
        <v>2</v>
      </c>
      <c r="Z40" t="str">
        <f>D6</f>
        <v>87,38</v>
      </c>
    </row>
    <row r="41" spans="2:26" x14ac:dyDescent="0.25">
      <c r="B41" t="s">
        <v>0</v>
      </c>
      <c r="C41" t="s">
        <v>49</v>
      </c>
      <c r="E41" s="78" t="s">
        <v>96</v>
      </c>
      <c r="F41" s="78"/>
      <c r="G41" t="s">
        <v>94</v>
      </c>
      <c r="H41" t="s">
        <v>95</v>
      </c>
      <c r="I41" s="78" t="s">
        <v>110</v>
      </c>
      <c r="J41" s="78"/>
      <c r="W41" t="s">
        <v>39</v>
      </c>
      <c r="X41" t="s">
        <v>38</v>
      </c>
      <c r="Y41">
        <v>3</v>
      </c>
      <c r="Z41">
        <f>E6</f>
        <v>82.42</v>
      </c>
    </row>
    <row r="42" spans="2:26" x14ac:dyDescent="0.25">
      <c r="B42" t="s">
        <v>8</v>
      </c>
      <c r="C42" s="41">
        <f t="shared" ref="C42:C50" si="4">G4</f>
        <v>84.79</v>
      </c>
      <c r="E42" t="s">
        <v>16</v>
      </c>
      <c r="F42" s="41">
        <f>C47</f>
        <v>81.566666666666663</v>
      </c>
      <c r="G42" s="41">
        <f>F42+J44</f>
        <v>145.46635046466702</v>
      </c>
      <c r="H42" t="s">
        <v>59</v>
      </c>
      <c r="I42" t="s">
        <v>111</v>
      </c>
      <c r="J42" s="49">
        <f>SQRT(L18/J5)</f>
        <v>14.013088552193064</v>
      </c>
      <c r="W42" t="s">
        <v>40</v>
      </c>
      <c r="X42" t="s">
        <v>36</v>
      </c>
      <c r="Y42">
        <v>1</v>
      </c>
      <c r="Z42" t="str">
        <f>C7</f>
        <v>83,29</v>
      </c>
    </row>
    <row r="43" spans="2:26" x14ac:dyDescent="0.25">
      <c r="B43" t="s">
        <v>10</v>
      </c>
      <c r="C43" s="41">
        <f t="shared" si="4"/>
        <v>86.610000000000014</v>
      </c>
      <c r="E43" t="s">
        <v>18</v>
      </c>
      <c r="F43" s="41">
        <f>C49</f>
        <v>83.183333333333337</v>
      </c>
      <c r="H43" t="s">
        <v>59</v>
      </c>
      <c r="I43" t="s">
        <v>42</v>
      </c>
      <c r="J43">
        <v>4.5599999999999996</v>
      </c>
      <c r="W43" t="s">
        <v>40</v>
      </c>
      <c r="X43" t="s">
        <v>36</v>
      </c>
      <c r="Y43">
        <v>2</v>
      </c>
      <c r="Z43">
        <f>D7</f>
        <v>87.46</v>
      </c>
    </row>
    <row r="44" spans="2:26" x14ac:dyDescent="0.25">
      <c r="B44" t="s">
        <v>12</v>
      </c>
      <c r="C44" s="41">
        <f t="shared" si="4"/>
        <v>84.509999999999991</v>
      </c>
      <c r="E44" t="s">
        <v>26</v>
      </c>
      <c r="F44" s="41">
        <f>C50</f>
        <v>83.293333333333337</v>
      </c>
      <c r="H44" t="s">
        <v>59</v>
      </c>
      <c r="I44" t="s">
        <v>43</v>
      </c>
      <c r="J44" s="49">
        <f>J43*J42</f>
        <v>63.899683798000368</v>
      </c>
      <c r="W44" t="s">
        <v>40</v>
      </c>
      <c r="X44" t="s">
        <v>36</v>
      </c>
      <c r="Y44">
        <v>3</v>
      </c>
      <c r="Z44">
        <f>E7</f>
        <v>87.27</v>
      </c>
    </row>
    <row r="45" spans="2:26" x14ac:dyDescent="0.25">
      <c r="B45" t="s">
        <v>13</v>
      </c>
      <c r="C45" s="41">
        <f t="shared" si="4"/>
        <v>87.364999999999995</v>
      </c>
      <c r="E45" t="s">
        <v>12</v>
      </c>
      <c r="F45" s="41">
        <f>C44</f>
        <v>84.509999999999991</v>
      </c>
      <c r="H45" t="s">
        <v>59</v>
      </c>
      <c r="W45" t="s">
        <v>40</v>
      </c>
      <c r="X45" t="s">
        <v>37</v>
      </c>
      <c r="Y45">
        <v>1</v>
      </c>
      <c r="Z45">
        <f>C8</f>
        <v>86.7</v>
      </c>
    </row>
    <row r="46" spans="2:26" x14ac:dyDescent="0.25">
      <c r="B46" t="s">
        <v>15</v>
      </c>
      <c r="C46" s="41">
        <f t="shared" si="4"/>
        <v>85.453333333333333</v>
      </c>
      <c r="E46" t="s">
        <v>8</v>
      </c>
      <c r="F46" s="41">
        <f>C42</f>
        <v>84.79</v>
      </c>
      <c r="H46" t="s">
        <v>59</v>
      </c>
      <c r="W46" t="s">
        <v>40</v>
      </c>
      <c r="X46" t="s">
        <v>37</v>
      </c>
      <c r="Y46">
        <v>2</v>
      </c>
      <c r="Z46">
        <f>D8</f>
        <v>89.16</v>
      </c>
    </row>
    <row r="47" spans="2:26" x14ac:dyDescent="0.25">
      <c r="B47" t="s">
        <v>16</v>
      </c>
      <c r="C47" s="41">
        <f t="shared" si="4"/>
        <v>81.566666666666663</v>
      </c>
      <c r="E47" t="s">
        <v>15</v>
      </c>
      <c r="F47" s="41">
        <f>C46</f>
        <v>85.453333333333333</v>
      </c>
      <c r="H47" t="s">
        <v>59</v>
      </c>
      <c r="W47" t="s">
        <v>40</v>
      </c>
      <c r="X47" t="s">
        <v>37</v>
      </c>
      <c r="Y47">
        <v>3</v>
      </c>
      <c r="Z47">
        <f>E8</f>
        <v>80.5</v>
      </c>
    </row>
    <row r="48" spans="2:26" x14ac:dyDescent="0.25">
      <c r="B48" t="s">
        <v>17</v>
      </c>
      <c r="C48" s="41">
        <f t="shared" si="4"/>
        <v>86.053333333333342</v>
      </c>
      <c r="E48" t="s">
        <v>17</v>
      </c>
      <c r="F48" s="41">
        <f>C48</f>
        <v>86.053333333333342</v>
      </c>
      <c r="H48" t="s">
        <v>59</v>
      </c>
      <c r="W48" t="s">
        <v>40</v>
      </c>
      <c r="X48" t="s">
        <v>38</v>
      </c>
      <c r="Y48">
        <v>1</v>
      </c>
      <c r="Z48">
        <f>C9</f>
        <v>82.14</v>
      </c>
    </row>
    <row r="49" spans="2:26" x14ac:dyDescent="0.25">
      <c r="B49" t="s">
        <v>18</v>
      </c>
      <c r="C49" s="41">
        <f t="shared" si="4"/>
        <v>83.183333333333337</v>
      </c>
      <c r="E49" t="s">
        <v>10</v>
      </c>
      <c r="F49" s="41">
        <f>C43</f>
        <v>86.610000000000014</v>
      </c>
      <c r="H49" t="s">
        <v>59</v>
      </c>
      <c r="W49" t="s">
        <v>40</v>
      </c>
      <c r="X49" t="s">
        <v>38</v>
      </c>
      <c r="Y49">
        <v>2</v>
      </c>
      <c r="Z49">
        <f>D9</f>
        <v>79.77</v>
      </c>
    </row>
    <row r="50" spans="2:26" x14ac:dyDescent="0.25">
      <c r="B50" t="s">
        <v>26</v>
      </c>
      <c r="C50" s="41">
        <f t="shared" si="4"/>
        <v>83.293333333333337</v>
      </c>
      <c r="E50" t="s">
        <v>13</v>
      </c>
      <c r="F50" s="41">
        <f>C45</f>
        <v>87.364999999999995</v>
      </c>
      <c r="H50" t="s">
        <v>59</v>
      </c>
      <c r="W50" t="s">
        <v>40</v>
      </c>
      <c r="X50" t="s">
        <v>38</v>
      </c>
      <c r="Y50">
        <v>3</v>
      </c>
      <c r="Z50">
        <f>E9</f>
        <v>82.79</v>
      </c>
    </row>
    <row r="51" spans="2:26" x14ac:dyDescent="0.25">
      <c r="W51" t="s">
        <v>41</v>
      </c>
      <c r="X51" t="s">
        <v>36</v>
      </c>
      <c r="Y51">
        <v>1</v>
      </c>
      <c r="Z51">
        <f>C10</f>
        <v>86.12</v>
      </c>
    </row>
    <row r="52" spans="2:26" x14ac:dyDescent="0.25">
      <c r="W52" t="s">
        <v>41</v>
      </c>
      <c r="X52" t="s">
        <v>36</v>
      </c>
      <c r="Y52">
        <v>2</v>
      </c>
      <c r="Z52">
        <f>D10</f>
        <v>86.59</v>
      </c>
    </row>
    <row r="53" spans="2:26" x14ac:dyDescent="0.25">
      <c r="W53" t="s">
        <v>41</v>
      </c>
      <c r="X53" t="s">
        <v>36</v>
      </c>
      <c r="Y53">
        <v>3</v>
      </c>
      <c r="Z53">
        <f>E10</f>
        <v>85.45</v>
      </c>
    </row>
    <row r="54" spans="2:26" x14ac:dyDescent="0.25">
      <c r="W54" t="s">
        <v>41</v>
      </c>
      <c r="X54" t="s">
        <v>37</v>
      </c>
      <c r="Y54">
        <v>1</v>
      </c>
      <c r="Z54">
        <f>C11</f>
        <v>85.3</v>
      </c>
    </row>
    <row r="55" spans="2:26" x14ac:dyDescent="0.25">
      <c r="W55" t="s">
        <v>41</v>
      </c>
      <c r="X55" t="s">
        <v>37</v>
      </c>
      <c r="Y55">
        <v>2</v>
      </c>
      <c r="Z55">
        <f>D11</f>
        <v>79.17</v>
      </c>
    </row>
    <row r="56" spans="2:26" x14ac:dyDescent="0.25">
      <c r="W56" t="s">
        <v>41</v>
      </c>
      <c r="X56" t="s">
        <v>37</v>
      </c>
      <c r="Y56">
        <v>3</v>
      </c>
      <c r="Z56">
        <f>E11</f>
        <v>85.08</v>
      </c>
    </row>
    <row r="57" spans="2:26" x14ac:dyDescent="0.25">
      <c r="W57" t="s">
        <v>41</v>
      </c>
      <c r="X57" t="s">
        <v>38</v>
      </c>
      <c r="Y57">
        <v>1</v>
      </c>
      <c r="Z57">
        <f>C12</f>
        <v>77.260000000000005</v>
      </c>
    </row>
    <row r="58" spans="2:26" x14ac:dyDescent="0.25">
      <c r="W58" t="s">
        <v>41</v>
      </c>
      <c r="X58" t="s">
        <v>38</v>
      </c>
      <c r="Y58">
        <v>2</v>
      </c>
      <c r="Z58">
        <f>D12</f>
        <v>85.29</v>
      </c>
    </row>
    <row r="59" spans="2:26" x14ac:dyDescent="0.25">
      <c r="W59" t="s">
        <v>41</v>
      </c>
      <c r="X59" t="s">
        <v>38</v>
      </c>
      <c r="Y59">
        <v>3</v>
      </c>
      <c r="Z59">
        <f>E12</f>
        <v>87.33</v>
      </c>
    </row>
  </sheetData>
  <mergeCells count="24">
    <mergeCell ref="N21:U24"/>
    <mergeCell ref="M11:M12"/>
    <mergeCell ref="N11:O11"/>
    <mergeCell ref="P11:P12"/>
    <mergeCell ref="B2:B3"/>
    <mergeCell ref="C2:E2"/>
    <mergeCell ref="F2:F3"/>
    <mergeCell ref="G2:G3"/>
    <mergeCell ref="K11:K12"/>
    <mergeCell ref="I11:I12"/>
    <mergeCell ref="J11:J12"/>
    <mergeCell ref="B18:B19"/>
    <mergeCell ref="C18:E18"/>
    <mergeCell ref="F18:F19"/>
    <mergeCell ref="G18:G19"/>
    <mergeCell ref="L11:L12"/>
    <mergeCell ref="I27:J27"/>
    <mergeCell ref="E27:F27"/>
    <mergeCell ref="E34:F34"/>
    <mergeCell ref="I34:J34"/>
    <mergeCell ref="E41:F41"/>
    <mergeCell ref="I41:J41"/>
    <mergeCell ref="B31:J31"/>
    <mergeCell ref="B38:J38"/>
  </mergeCells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A51"/>
  <sheetViews>
    <sheetView topLeftCell="B51" zoomScale="60" zoomScaleNormal="60" workbookViewId="0">
      <selection activeCell="P32" sqref="P32"/>
    </sheetView>
  </sheetViews>
  <sheetFormatPr defaultRowHeight="15" x14ac:dyDescent="0.25"/>
  <cols>
    <col min="2" max="2" width="12.5703125" customWidth="1"/>
    <col min="7" max="7" width="13.28515625" customWidth="1"/>
    <col min="9" max="9" width="13.42578125" customWidth="1"/>
    <col min="11" max="11" width="12.28515625" customWidth="1"/>
  </cols>
  <sheetData>
    <row r="2" spans="2:27" ht="15.75" x14ac:dyDescent="0.25">
      <c r="B2" s="91" t="s">
        <v>0</v>
      </c>
      <c r="C2" s="93" t="s">
        <v>1</v>
      </c>
      <c r="D2" s="94"/>
      <c r="E2" s="95"/>
      <c r="F2" s="77" t="s">
        <v>2</v>
      </c>
      <c r="G2" s="77" t="s">
        <v>3</v>
      </c>
      <c r="H2" s="1"/>
      <c r="I2" s="1"/>
      <c r="J2" s="1"/>
      <c r="K2" s="1"/>
      <c r="L2" s="1"/>
      <c r="M2" s="1"/>
      <c r="N2" s="1"/>
      <c r="O2" s="1"/>
      <c r="P2" s="1"/>
    </row>
    <row r="3" spans="2:27" ht="15.75" x14ac:dyDescent="0.25">
      <c r="B3" s="92"/>
      <c r="C3" s="2" t="s">
        <v>4</v>
      </c>
      <c r="D3" s="2" t="s">
        <v>5</v>
      </c>
      <c r="E3" s="2" t="s">
        <v>6</v>
      </c>
      <c r="F3" s="77"/>
      <c r="G3" s="77"/>
      <c r="H3" s="1"/>
      <c r="I3" s="3" t="s">
        <v>7</v>
      </c>
      <c r="J3" s="1">
        <v>3</v>
      </c>
      <c r="K3" s="1"/>
      <c r="L3" s="1"/>
      <c r="M3" s="1"/>
      <c r="N3" s="1"/>
      <c r="O3" s="1"/>
      <c r="P3" s="1"/>
      <c r="X3" s="53" t="s">
        <v>51</v>
      </c>
      <c r="Y3" s="21" t="s">
        <v>52</v>
      </c>
      <c r="Z3" s="21" t="s">
        <v>53</v>
      </c>
      <c r="AA3" t="s">
        <v>114</v>
      </c>
    </row>
    <row r="4" spans="2:27" ht="15.75" x14ac:dyDescent="0.25">
      <c r="B4" s="4" t="s">
        <v>79</v>
      </c>
      <c r="C4" s="4">
        <v>6.09</v>
      </c>
      <c r="D4" s="4">
        <v>5.94</v>
      </c>
      <c r="E4" s="4">
        <v>4.8499999999999996</v>
      </c>
      <c r="F4" s="4">
        <f>SUM(C4:E4)</f>
        <v>16.880000000000003</v>
      </c>
      <c r="G4" s="5">
        <f>AVERAGE(C4:E4)</f>
        <v>5.6266666666666678</v>
      </c>
      <c r="H4" s="6">
        <f>STDEV(C4:E4)</f>
        <v>0.67678159943465788</v>
      </c>
      <c r="I4" s="3" t="s">
        <v>9</v>
      </c>
      <c r="J4" s="1">
        <v>3</v>
      </c>
      <c r="K4" s="1"/>
      <c r="L4" s="1"/>
      <c r="M4" s="1"/>
      <c r="N4" s="1"/>
      <c r="O4" s="1"/>
      <c r="P4" s="1"/>
      <c r="X4" t="s">
        <v>39</v>
      </c>
      <c r="Y4" t="s">
        <v>36</v>
      </c>
      <c r="Z4">
        <v>1</v>
      </c>
      <c r="AA4">
        <f>C4</f>
        <v>6.09</v>
      </c>
    </row>
    <row r="5" spans="2:27" ht="15.75" x14ac:dyDescent="0.25">
      <c r="B5" s="4" t="s">
        <v>80</v>
      </c>
      <c r="C5" s="4">
        <v>4.68</v>
      </c>
      <c r="D5" s="4">
        <v>5.0999999999999996</v>
      </c>
      <c r="E5" s="4">
        <v>5.47</v>
      </c>
      <c r="F5" s="4">
        <f t="shared" ref="F5:F12" si="0">SUM(C5:E5)</f>
        <v>15.25</v>
      </c>
      <c r="G5" s="5">
        <f t="shared" ref="G5:G12" si="1">AVERAGE(C5:E5)</f>
        <v>5.083333333333333</v>
      </c>
      <c r="H5" s="6">
        <f t="shared" ref="H5:H12" si="2">STDEV(C5:E5)</f>
        <v>0.39526362510776697</v>
      </c>
      <c r="I5" s="3" t="s">
        <v>11</v>
      </c>
      <c r="J5" s="1">
        <v>3</v>
      </c>
      <c r="K5" s="1"/>
      <c r="L5" s="1"/>
      <c r="M5" s="1"/>
      <c r="N5" s="1"/>
      <c r="O5" s="1"/>
      <c r="P5" s="1"/>
      <c r="X5" t="s">
        <v>39</v>
      </c>
      <c r="Y5" t="s">
        <v>36</v>
      </c>
      <c r="Z5">
        <v>2</v>
      </c>
      <c r="AA5">
        <f>D4</f>
        <v>5.94</v>
      </c>
    </row>
    <row r="6" spans="2:27" ht="15.75" x14ac:dyDescent="0.25">
      <c r="B6" s="4" t="s">
        <v>87</v>
      </c>
      <c r="C6" s="4">
        <v>6.34</v>
      </c>
      <c r="D6" s="4">
        <v>5.54</v>
      </c>
      <c r="E6" s="4">
        <v>6.72</v>
      </c>
      <c r="F6" s="4">
        <f t="shared" si="0"/>
        <v>18.599999999999998</v>
      </c>
      <c r="G6" s="5">
        <f t="shared" si="1"/>
        <v>6.1999999999999993</v>
      </c>
      <c r="H6" s="6">
        <f t="shared" si="2"/>
        <v>0.60232881385502368</v>
      </c>
      <c r="I6" s="1"/>
      <c r="J6" s="1"/>
      <c r="K6" s="1"/>
      <c r="L6" s="1"/>
      <c r="M6" s="1"/>
      <c r="N6" s="1"/>
      <c r="O6" s="1"/>
      <c r="P6" s="1"/>
      <c r="X6" t="s">
        <v>39</v>
      </c>
      <c r="Y6" t="s">
        <v>36</v>
      </c>
      <c r="Z6">
        <v>3</v>
      </c>
      <c r="AA6">
        <f>E4</f>
        <v>4.8499999999999996</v>
      </c>
    </row>
    <row r="7" spans="2:27" ht="15.75" x14ac:dyDescent="0.25">
      <c r="B7" s="4" t="s">
        <v>81</v>
      </c>
      <c r="C7" s="4">
        <v>4.83</v>
      </c>
      <c r="D7" s="4">
        <v>4.2300000000000004</v>
      </c>
      <c r="E7" s="4">
        <v>4.68</v>
      </c>
      <c r="F7" s="4">
        <f t="shared" si="0"/>
        <v>13.74</v>
      </c>
      <c r="G7" s="5">
        <f t="shared" si="1"/>
        <v>4.58</v>
      </c>
      <c r="H7" s="6">
        <f t="shared" si="2"/>
        <v>0.31224989991991964</v>
      </c>
      <c r="I7" s="1" t="s">
        <v>14</v>
      </c>
      <c r="J7" s="7">
        <f>(F13^2)/(J3*J4*J5)</f>
        <v>655.83795925925926</v>
      </c>
      <c r="K7" s="1"/>
      <c r="L7" s="1"/>
      <c r="M7" s="1"/>
      <c r="N7" s="1"/>
      <c r="O7" s="1"/>
      <c r="P7" s="1"/>
      <c r="X7" t="s">
        <v>39</v>
      </c>
      <c r="Y7" t="s">
        <v>37</v>
      </c>
      <c r="Z7">
        <v>1</v>
      </c>
      <c r="AA7">
        <f>C5</f>
        <v>4.68</v>
      </c>
    </row>
    <row r="8" spans="2:27" ht="15.75" x14ac:dyDescent="0.25">
      <c r="B8" s="4" t="s">
        <v>82</v>
      </c>
      <c r="C8" s="4">
        <v>4.95</v>
      </c>
      <c r="D8" s="4">
        <v>4.47</v>
      </c>
      <c r="E8" s="4">
        <v>5.01</v>
      </c>
      <c r="F8" s="4">
        <f t="shared" si="0"/>
        <v>14.43</v>
      </c>
      <c r="G8" s="5">
        <f t="shared" si="1"/>
        <v>4.8099999999999996</v>
      </c>
      <c r="H8" s="6">
        <f t="shared" si="2"/>
        <v>0.29597297173897491</v>
      </c>
      <c r="I8" s="1"/>
      <c r="J8" s="1"/>
      <c r="K8" s="1"/>
      <c r="L8" s="1"/>
      <c r="M8" s="1"/>
      <c r="N8" s="1"/>
      <c r="O8" s="1"/>
      <c r="P8" s="1"/>
      <c r="X8" t="s">
        <v>39</v>
      </c>
      <c r="Y8" t="s">
        <v>37</v>
      </c>
      <c r="Z8">
        <v>2</v>
      </c>
      <c r="AA8">
        <f>D5</f>
        <v>5.0999999999999996</v>
      </c>
    </row>
    <row r="9" spans="2:27" ht="15.75" x14ac:dyDescent="0.25">
      <c r="B9" s="4" t="s">
        <v>83</v>
      </c>
      <c r="C9" s="4">
        <v>4.28</v>
      </c>
      <c r="D9" s="4">
        <v>4.21</v>
      </c>
      <c r="E9" s="4">
        <v>6.03</v>
      </c>
      <c r="F9" s="4">
        <f t="shared" si="0"/>
        <v>14.52</v>
      </c>
      <c r="G9" s="5">
        <f t="shared" si="1"/>
        <v>4.84</v>
      </c>
      <c r="H9" s="6">
        <f t="shared" si="2"/>
        <v>1.0311643903859391</v>
      </c>
      <c r="I9" s="1"/>
      <c r="J9" s="1"/>
      <c r="K9" s="1"/>
      <c r="L9" s="1"/>
      <c r="M9" s="1"/>
      <c r="N9" s="1"/>
      <c r="O9" s="1"/>
      <c r="P9" s="1"/>
      <c r="X9" t="s">
        <v>39</v>
      </c>
      <c r="Y9" t="s">
        <v>37</v>
      </c>
      <c r="Z9">
        <v>3</v>
      </c>
      <c r="AA9">
        <f>E5</f>
        <v>5.47</v>
      </c>
    </row>
    <row r="10" spans="2:27" ht="15.75" x14ac:dyDescent="0.25">
      <c r="B10" s="4" t="s">
        <v>84</v>
      </c>
      <c r="C10" s="4">
        <v>4.4400000000000004</v>
      </c>
      <c r="D10" s="4">
        <v>4.63</v>
      </c>
      <c r="E10" s="4">
        <v>4.0199999999999996</v>
      </c>
      <c r="F10" s="4">
        <f>SUM(C10:E10)</f>
        <v>13.09</v>
      </c>
      <c r="G10" s="5">
        <f t="shared" si="1"/>
        <v>4.3633333333333333</v>
      </c>
      <c r="H10" s="6">
        <f t="shared" si="2"/>
        <v>0.3121431295629194</v>
      </c>
      <c r="I10" s="1"/>
      <c r="J10" s="1"/>
      <c r="K10" s="1"/>
      <c r="L10" s="1"/>
      <c r="M10" s="1"/>
      <c r="N10" s="1"/>
      <c r="O10" s="1"/>
      <c r="P10" s="1"/>
      <c r="X10" t="s">
        <v>39</v>
      </c>
      <c r="Y10" t="s">
        <v>38</v>
      </c>
      <c r="Z10">
        <v>1</v>
      </c>
      <c r="AA10">
        <f>C6</f>
        <v>6.34</v>
      </c>
    </row>
    <row r="11" spans="2:27" ht="15.75" x14ac:dyDescent="0.25">
      <c r="B11" s="4" t="s">
        <v>85</v>
      </c>
      <c r="C11" s="4">
        <v>4.74</v>
      </c>
      <c r="D11" s="4">
        <v>5</v>
      </c>
      <c r="E11" s="4">
        <v>3.64</v>
      </c>
      <c r="F11" s="4">
        <f t="shared" si="0"/>
        <v>13.38</v>
      </c>
      <c r="G11" s="5">
        <f t="shared" si="1"/>
        <v>4.46</v>
      </c>
      <c r="H11" s="6">
        <f t="shared" si="2"/>
        <v>0.72194182591120204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X11" t="s">
        <v>39</v>
      </c>
      <c r="Y11" t="s">
        <v>38</v>
      </c>
      <c r="Z11">
        <v>2</v>
      </c>
      <c r="AA11">
        <f>D6</f>
        <v>5.54</v>
      </c>
    </row>
    <row r="12" spans="2:27" ht="15.75" x14ac:dyDescent="0.25">
      <c r="B12" s="4" t="s">
        <v>86</v>
      </c>
      <c r="C12" s="4">
        <v>4.17</v>
      </c>
      <c r="D12" s="4">
        <v>4.5999999999999996</v>
      </c>
      <c r="E12" s="4">
        <v>4.41</v>
      </c>
      <c r="F12" s="4">
        <f t="shared" si="0"/>
        <v>13.18</v>
      </c>
      <c r="G12" s="5">
        <f t="shared" si="1"/>
        <v>4.3933333333333335</v>
      </c>
      <c r="H12" s="6">
        <f t="shared" si="2"/>
        <v>0.21548395145191968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X12" t="s">
        <v>39</v>
      </c>
      <c r="Y12" t="s">
        <v>38</v>
      </c>
      <c r="Z12">
        <v>3</v>
      </c>
      <c r="AA12">
        <f>E6</f>
        <v>6.72</v>
      </c>
    </row>
    <row r="13" spans="2:27" ht="15.75" x14ac:dyDescent="0.25">
      <c r="B13" s="2" t="s">
        <v>2</v>
      </c>
      <c r="C13" s="4">
        <f>SUM(C4:C12)</f>
        <v>44.52</v>
      </c>
      <c r="D13" s="4">
        <f>SUM(D4:D12)</f>
        <v>43.72</v>
      </c>
      <c r="E13" s="4">
        <f>SUM(E4:E12)</f>
        <v>44.83</v>
      </c>
      <c r="F13" s="10">
        <f>SUM(F4:F12)</f>
        <v>133.07</v>
      </c>
      <c r="G13" s="11"/>
      <c r="H13" s="1"/>
      <c r="I13" s="1" t="s">
        <v>27</v>
      </c>
      <c r="J13" s="1">
        <f>(J5-1)</f>
        <v>2</v>
      </c>
      <c r="K13" s="12">
        <f>SUMSQ(C13:E13)/(J3*J4)-J7</f>
        <v>7.2896296296335095E-2</v>
      </c>
      <c r="L13" s="12">
        <f t="shared" ref="L13:L18" si="3">K13/J13</f>
        <v>3.6448148148167547E-2</v>
      </c>
      <c r="M13" s="13">
        <f>L13/L18</f>
        <v>0.10216414937398881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t="s">
        <v>25</v>
      </c>
      <c r="S13" t="s">
        <v>28</v>
      </c>
      <c r="T13" t="s">
        <v>29</v>
      </c>
      <c r="X13" t="s">
        <v>40</v>
      </c>
      <c r="Y13" t="s">
        <v>36</v>
      </c>
      <c r="Z13">
        <v>1</v>
      </c>
      <c r="AA13">
        <f>C7</f>
        <v>4.83</v>
      </c>
    </row>
    <row r="14" spans="2:27" ht="15.75" x14ac:dyDescent="0.25">
      <c r="B14" s="1"/>
      <c r="C14" s="1"/>
      <c r="D14" s="1"/>
      <c r="E14" s="1"/>
      <c r="F14" s="1"/>
      <c r="G14" s="1"/>
      <c r="H14" s="1"/>
      <c r="I14" s="1" t="s">
        <v>0</v>
      </c>
      <c r="J14" s="1">
        <f>(J3*J4-1)</f>
        <v>8</v>
      </c>
      <c r="K14" s="12">
        <f>SUMSQ(F4:F12)/J5-J7</f>
        <v>9.290274074074091</v>
      </c>
      <c r="L14" s="12">
        <f t="shared" si="3"/>
        <v>1.1612842592592614</v>
      </c>
      <c r="M14" s="13">
        <f>L14/L18</f>
        <v>3.255079463744714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*</v>
      </c>
      <c r="S14" t="s">
        <v>30</v>
      </c>
      <c r="T14" t="s">
        <v>31</v>
      </c>
      <c r="X14" t="s">
        <v>40</v>
      </c>
      <c r="Y14" t="s">
        <v>36</v>
      </c>
      <c r="Z14">
        <v>2</v>
      </c>
      <c r="AA14">
        <f>D7</f>
        <v>4.2300000000000004</v>
      </c>
    </row>
    <row r="15" spans="2:27" ht="15.75" x14ac:dyDescent="0.25">
      <c r="B15" s="1"/>
      <c r="C15" s="1"/>
      <c r="D15" s="1"/>
      <c r="E15" s="1"/>
      <c r="F15" s="1"/>
      <c r="G15" s="1"/>
      <c r="H15" s="1"/>
      <c r="I15" s="24" t="s">
        <v>7</v>
      </c>
      <c r="J15" s="1">
        <f>(J3-1)</f>
        <v>2</v>
      </c>
      <c r="K15" s="12">
        <f>SUMSQ(F20:F22)/(J3*J5)-J7</f>
        <v>7.283318518518513</v>
      </c>
      <c r="L15" s="12">
        <f t="shared" si="3"/>
        <v>3.6416592592592565</v>
      </c>
      <c r="M15" s="13">
        <f>L15/L18</f>
        <v>10.207569916027051</v>
      </c>
      <c r="N15" s="13">
        <f>FINV(N12,J15,J18)</f>
        <v>3.6337234675916301</v>
      </c>
      <c r="O15" s="13">
        <f>FINV(O12,J15,J18)</f>
        <v>6.2262352803113821</v>
      </c>
      <c r="P15" s="1" t="str">
        <f>IF(M15&lt;N15,"tn",IF(M15&lt;O15,"*","**"))</f>
        <v>**</v>
      </c>
      <c r="S15" t="s">
        <v>32</v>
      </c>
      <c r="T15" t="s">
        <v>33</v>
      </c>
      <c r="X15" t="s">
        <v>40</v>
      </c>
      <c r="Y15" t="s">
        <v>36</v>
      </c>
      <c r="Z15">
        <v>3</v>
      </c>
      <c r="AA15">
        <f>E7</f>
        <v>4.68</v>
      </c>
    </row>
    <row r="16" spans="2:27" ht="15.75" x14ac:dyDescent="0.25">
      <c r="B16" s="1"/>
      <c r="C16" s="1"/>
      <c r="D16" s="1"/>
      <c r="E16" s="1"/>
      <c r="F16" s="1"/>
      <c r="G16" s="1"/>
      <c r="H16" s="1"/>
      <c r="I16" s="24" t="s">
        <v>9</v>
      </c>
      <c r="J16" s="1">
        <f>(J4-1)</f>
        <v>2</v>
      </c>
      <c r="K16" s="12">
        <f>SUMSQ(C23:E23)/(J4*J5)-J7</f>
        <v>0.65289629629626234</v>
      </c>
      <c r="L16" s="12">
        <f t="shared" si="3"/>
        <v>0.32644814814813117</v>
      </c>
      <c r="M16" s="13">
        <f>L16/L18</f>
        <v>0.9150340707212159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tn</v>
      </c>
      <c r="X16" t="s">
        <v>40</v>
      </c>
      <c r="Y16" t="s">
        <v>37</v>
      </c>
      <c r="Z16">
        <v>1</v>
      </c>
      <c r="AA16">
        <f>C8</f>
        <v>4.95</v>
      </c>
    </row>
    <row r="17" spans="2:27" ht="15.75" x14ac:dyDescent="0.25">
      <c r="B17" s="1"/>
      <c r="C17" s="1"/>
      <c r="D17" s="1" t="s">
        <v>34</v>
      </c>
      <c r="E17" s="1"/>
      <c r="F17" s="1"/>
      <c r="G17" s="1"/>
      <c r="H17" s="1"/>
      <c r="I17" s="24" t="s">
        <v>44</v>
      </c>
      <c r="J17" s="1">
        <f>(J3-1)*(J4-1)</f>
        <v>4</v>
      </c>
      <c r="K17" s="12">
        <f>K14-K15-K16</f>
        <v>1.3540592592593157</v>
      </c>
      <c r="L17" s="12">
        <f t="shared" si="3"/>
        <v>0.33851481481482892</v>
      </c>
      <c r="M17" s="13">
        <f>L17/L18</f>
        <v>0.94885693411529537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tn</v>
      </c>
      <c r="X17" t="s">
        <v>40</v>
      </c>
      <c r="Y17" t="s">
        <v>37</v>
      </c>
      <c r="Z17">
        <v>2</v>
      </c>
      <c r="AA17">
        <f>D8</f>
        <v>4.47</v>
      </c>
    </row>
    <row r="18" spans="2:27" ht="15.75" x14ac:dyDescent="0.25">
      <c r="B18" s="79" t="s">
        <v>7</v>
      </c>
      <c r="C18" s="79" t="s">
        <v>9</v>
      </c>
      <c r="D18" s="79"/>
      <c r="E18" s="79"/>
      <c r="F18" s="80" t="s">
        <v>2</v>
      </c>
      <c r="G18" s="80" t="s">
        <v>3</v>
      </c>
      <c r="H18" s="1"/>
      <c r="I18" s="1" t="s">
        <v>35</v>
      </c>
      <c r="J18" s="1">
        <f>(J3*J4-1)*(J5-1)</f>
        <v>16</v>
      </c>
      <c r="K18" s="12">
        <f>K19-K13-K14</f>
        <v>5.708170370370226</v>
      </c>
      <c r="L18" s="12">
        <f t="shared" si="3"/>
        <v>0.35676064814813913</v>
      </c>
      <c r="M18" s="14"/>
      <c r="N18" s="14"/>
      <c r="O18" s="14"/>
      <c r="P18" s="14"/>
      <c r="X18" t="s">
        <v>40</v>
      </c>
      <c r="Y18" t="s">
        <v>37</v>
      </c>
      <c r="Z18">
        <v>3</v>
      </c>
      <c r="AA18">
        <f>E8</f>
        <v>5.01</v>
      </c>
    </row>
    <row r="19" spans="2:27" ht="15.75" x14ac:dyDescent="0.25">
      <c r="B19" s="79"/>
      <c r="C19" s="4" t="s">
        <v>36</v>
      </c>
      <c r="D19" s="4" t="s">
        <v>37</v>
      </c>
      <c r="E19" s="4" t="s">
        <v>38</v>
      </c>
      <c r="F19" s="80"/>
      <c r="G19" s="80"/>
      <c r="H19" s="1"/>
      <c r="I19" s="15" t="s">
        <v>2</v>
      </c>
      <c r="J19" s="15">
        <f>(J3*J4*J5-1)</f>
        <v>26</v>
      </c>
      <c r="K19" s="16">
        <f>SUMSQ(C4:E12)-J7</f>
        <v>15.071340740740652</v>
      </c>
      <c r="L19" s="17"/>
      <c r="M19" s="17"/>
      <c r="N19" s="17"/>
      <c r="O19" s="17"/>
      <c r="P19" s="17"/>
      <c r="X19" t="s">
        <v>40</v>
      </c>
      <c r="Y19" t="s">
        <v>38</v>
      </c>
      <c r="Z19">
        <v>1</v>
      </c>
      <c r="AA19">
        <f>C9</f>
        <v>4.28</v>
      </c>
    </row>
    <row r="20" spans="2:27" ht="15.75" x14ac:dyDescent="0.25">
      <c r="B20" s="4" t="s">
        <v>39</v>
      </c>
      <c r="C20" s="4">
        <f>F4</f>
        <v>16.880000000000003</v>
      </c>
      <c r="D20" s="4">
        <f>F5</f>
        <v>15.25</v>
      </c>
      <c r="E20" s="4">
        <f>F6</f>
        <v>18.599999999999998</v>
      </c>
      <c r="F20" s="8">
        <f>SUM(C20:E20)</f>
        <v>50.730000000000004</v>
      </c>
      <c r="G20" s="18">
        <f>F20/9</f>
        <v>5.6366666666666667</v>
      </c>
      <c r="H20" s="1"/>
      <c r="I20" s="1"/>
      <c r="J20" s="1"/>
      <c r="K20" s="1"/>
      <c r="L20" s="1"/>
      <c r="M20" s="1"/>
      <c r="N20" s="1"/>
      <c r="O20" s="1"/>
      <c r="P20" s="1"/>
      <c r="X20" t="s">
        <v>40</v>
      </c>
      <c r="Y20" t="s">
        <v>38</v>
      </c>
      <c r="Z20">
        <v>2</v>
      </c>
      <c r="AA20">
        <f>D9</f>
        <v>4.21</v>
      </c>
    </row>
    <row r="21" spans="2:27" ht="15.75" customHeight="1" x14ac:dyDescent="0.25">
      <c r="B21" s="4" t="s">
        <v>40</v>
      </c>
      <c r="C21" s="4">
        <f>F7</f>
        <v>13.74</v>
      </c>
      <c r="D21" s="4">
        <f>F8</f>
        <v>14.43</v>
      </c>
      <c r="E21" s="4">
        <f>F9</f>
        <v>14.52</v>
      </c>
      <c r="F21" s="8">
        <f>SUM(C21:E21)</f>
        <v>42.69</v>
      </c>
      <c r="G21" s="18">
        <f>F21/9</f>
        <v>4.7433333333333332</v>
      </c>
      <c r="H21" s="1"/>
      <c r="I21" s="1"/>
      <c r="J21" s="1"/>
      <c r="K21" s="1"/>
      <c r="L21" s="1"/>
      <c r="M21" s="1"/>
      <c r="N21" s="85" t="s">
        <v>150</v>
      </c>
      <c r="O21" s="85"/>
      <c r="P21" s="85"/>
      <c r="Q21" s="85"/>
      <c r="R21" s="85"/>
      <c r="S21" s="85"/>
      <c r="T21" s="85"/>
      <c r="U21" s="85"/>
      <c r="V21" s="85"/>
      <c r="X21" t="s">
        <v>40</v>
      </c>
      <c r="Y21" t="s">
        <v>38</v>
      </c>
      <c r="Z21">
        <v>3</v>
      </c>
      <c r="AA21">
        <f>E9</f>
        <v>6.03</v>
      </c>
    </row>
    <row r="22" spans="2:27" ht="15.75" x14ac:dyDescent="0.25">
      <c r="B22" s="4" t="s">
        <v>41</v>
      </c>
      <c r="C22" s="4">
        <f>F10</f>
        <v>13.09</v>
      </c>
      <c r="D22" s="4">
        <f>F11</f>
        <v>13.38</v>
      </c>
      <c r="E22" s="4">
        <f>F12</f>
        <v>13.18</v>
      </c>
      <c r="F22" s="8">
        <f>SUM(C22:E22)</f>
        <v>39.65</v>
      </c>
      <c r="G22" s="18">
        <f>F22/9</f>
        <v>4.405555555555555</v>
      </c>
      <c r="H22" s="1"/>
      <c r="I22" s="1" t="s">
        <v>108</v>
      </c>
      <c r="J22" s="1"/>
      <c r="K22" s="1"/>
      <c r="L22" s="1"/>
      <c r="M22" s="1"/>
      <c r="N22" s="85"/>
      <c r="O22" s="85"/>
      <c r="P22" s="85"/>
      <c r="Q22" s="85"/>
      <c r="R22" s="85"/>
      <c r="S22" s="85"/>
      <c r="T22" s="85"/>
      <c r="U22" s="85"/>
      <c r="V22" s="85"/>
      <c r="X22" t="s">
        <v>41</v>
      </c>
      <c r="Y22" t="s">
        <v>36</v>
      </c>
      <c r="Z22">
        <v>1</v>
      </c>
      <c r="AA22">
        <f>C10</f>
        <v>4.4400000000000004</v>
      </c>
    </row>
    <row r="23" spans="2:27" ht="15.75" x14ac:dyDescent="0.25">
      <c r="B23" s="19" t="s">
        <v>2</v>
      </c>
      <c r="C23" s="8">
        <f>SUM(C20:C22)</f>
        <v>43.710000000000008</v>
      </c>
      <c r="D23" s="8">
        <f>SUM(D20:D22)</f>
        <v>43.06</v>
      </c>
      <c r="E23" s="8">
        <f>SUM(E20:E22)</f>
        <v>46.3</v>
      </c>
      <c r="F23" s="10">
        <f>SUM(F20:F22)</f>
        <v>133.07</v>
      </c>
      <c r="G23" s="4"/>
      <c r="H23" s="1"/>
      <c r="I23" s="1"/>
      <c r="J23" s="1"/>
      <c r="K23" s="1"/>
      <c r="L23" s="1"/>
      <c r="M23" s="1"/>
      <c r="N23" s="85"/>
      <c r="O23" s="85"/>
      <c r="P23" s="85"/>
      <c r="Q23" s="85"/>
      <c r="R23" s="85"/>
      <c r="S23" s="85"/>
      <c r="T23" s="85"/>
      <c r="U23" s="85"/>
      <c r="V23" s="85"/>
      <c r="X23" t="s">
        <v>41</v>
      </c>
      <c r="Y23" t="s">
        <v>36</v>
      </c>
      <c r="Z23">
        <v>2</v>
      </c>
      <c r="AA23">
        <f>D10</f>
        <v>4.63</v>
      </c>
    </row>
    <row r="24" spans="2:27" ht="15.75" x14ac:dyDescent="0.25">
      <c r="B24" s="19" t="s">
        <v>3</v>
      </c>
      <c r="C24" s="18">
        <f>C23/9</f>
        <v>4.8566666666666674</v>
      </c>
      <c r="D24" s="18">
        <f>D23/9</f>
        <v>4.7844444444444445</v>
      </c>
      <c r="E24" s="18">
        <f>E23/9</f>
        <v>5.1444444444444439</v>
      </c>
      <c r="F24" s="1"/>
      <c r="G24" s="1"/>
      <c r="H24" s="1"/>
      <c r="I24" s="22"/>
      <c r="J24" s="22"/>
      <c r="K24" s="22"/>
      <c r="L24" s="1"/>
      <c r="M24" s="1"/>
      <c r="N24" s="85"/>
      <c r="O24" s="85"/>
      <c r="P24" s="85"/>
      <c r="Q24" s="85"/>
      <c r="R24" s="85"/>
      <c r="S24" s="85"/>
      <c r="T24" s="85"/>
      <c r="U24" s="85"/>
      <c r="V24" s="85"/>
      <c r="X24" t="s">
        <v>41</v>
      </c>
      <c r="Y24" t="s">
        <v>36</v>
      </c>
      <c r="Z24">
        <v>3</v>
      </c>
      <c r="AA24">
        <f>E10</f>
        <v>4.0199999999999996</v>
      </c>
    </row>
    <row r="25" spans="2:27" ht="15.75" x14ac:dyDescent="0.25">
      <c r="B25" s="1"/>
      <c r="C25" s="1"/>
      <c r="D25" s="1"/>
      <c r="E25" s="1"/>
      <c r="F25" s="1"/>
      <c r="G25" s="1"/>
      <c r="H25" s="1"/>
      <c r="I25" s="50"/>
      <c r="J25" s="22"/>
      <c r="K25" s="23"/>
      <c r="L25" s="1"/>
      <c r="M25" s="1"/>
      <c r="N25" s="85"/>
      <c r="O25" s="85"/>
      <c r="P25" s="85"/>
      <c r="Q25" s="85"/>
      <c r="R25" s="85"/>
      <c r="S25" s="85"/>
      <c r="T25" s="85"/>
      <c r="U25" s="85"/>
      <c r="V25" s="85"/>
      <c r="X25" t="s">
        <v>41</v>
      </c>
      <c r="Y25" t="s">
        <v>37</v>
      </c>
      <c r="Z25">
        <v>1</v>
      </c>
      <c r="AA25">
        <f>C11</f>
        <v>4.74</v>
      </c>
    </row>
    <row r="26" spans="2:27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X26" t="s">
        <v>41</v>
      </c>
      <c r="Y26" t="s">
        <v>37</v>
      </c>
      <c r="Z26">
        <v>2</v>
      </c>
      <c r="AA26">
        <f>D11</f>
        <v>5</v>
      </c>
    </row>
    <row r="27" spans="2:27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X27" t="s">
        <v>41</v>
      </c>
      <c r="Y27" t="s">
        <v>37</v>
      </c>
      <c r="Z27">
        <v>3</v>
      </c>
      <c r="AA27">
        <f>E11</f>
        <v>3.64</v>
      </c>
    </row>
    <row r="28" spans="2:27" ht="15.75" x14ac:dyDescent="0.25">
      <c r="B28" s="1" t="s">
        <v>0</v>
      </c>
      <c r="C28" s="1" t="s">
        <v>112</v>
      </c>
      <c r="D28" s="1"/>
      <c r="E28" s="90" t="s">
        <v>96</v>
      </c>
      <c r="F28" s="90"/>
      <c r="G28" s="1" t="s">
        <v>94</v>
      </c>
      <c r="H28" s="1" t="s">
        <v>95</v>
      </c>
      <c r="I28" s="90" t="s">
        <v>103</v>
      </c>
      <c r="J28" s="90"/>
      <c r="K28" s="1"/>
      <c r="L28" s="1"/>
      <c r="M28" s="1"/>
      <c r="N28" s="1"/>
      <c r="O28" s="1"/>
      <c r="P28" s="1"/>
      <c r="Q28" s="1"/>
      <c r="R28" s="1"/>
      <c r="S28" s="1"/>
      <c r="T28" s="1"/>
      <c r="X28" t="s">
        <v>41</v>
      </c>
      <c r="Y28" t="s">
        <v>38</v>
      </c>
      <c r="Z28">
        <v>1</v>
      </c>
      <c r="AA28">
        <f>C12</f>
        <v>4.17</v>
      </c>
    </row>
    <row r="29" spans="2:27" ht="15.75" x14ac:dyDescent="0.25">
      <c r="B29" s="1" t="s">
        <v>39</v>
      </c>
      <c r="C29" s="6">
        <f>G20</f>
        <v>5.6366666666666667</v>
      </c>
      <c r="D29" s="1"/>
      <c r="E29" s="1" t="s">
        <v>41</v>
      </c>
      <c r="F29" s="6">
        <f>C31</f>
        <v>4.405555555555555</v>
      </c>
      <c r="G29" s="6">
        <f>F29+J31</f>
        <v>5.1322637909838367</v>
      </c>
      <c r="H29" s="1" t="s">
        <v>59</v>
      </c>
      <c r="I29" s="1" t="s">
        <v>111</v>
      </c>
      <c r="J29" s="1">
        <f>SQRT(L18/(J3*J5))</f>
        <v>0.19909814669267994</v>
      </c>
      <c r="K29" s="1"/>
      <c r="L29" s="1"/>
      <c r="M29" s="1"/>
      <c r="N29" s="1"/>
      <c r="O29" s="1"/>
      <c r="P29" s="1"/>
      <c r="Q29" s="1"/>
      <c r="R29" s="1"/>
      <c r="S29" s="1"/>
      <c r="T29" s="1"/>
      <c r="X29" t="s">
        <v>41</v>
      </c>
      <c r="Y29" t="s">
        <v>38</v>
      </c>
      <c r="Z29">
        <v>2</v>
      </c>
      <c r="AA29">
        <f>D12</f>
        <v>4.5999999999999996</v>
      </c>
    </row>
    <row r="30" spans="2:27" x14ac:dyDescent="0.25">
      <c r="B30" t="s">
        <v>40</v>
      </c>
      <c r="C30" s="41">
        <f>G21</f>
        <v>4.7433333333333332</v>
      </c>
      <c r="E30" t="s">
        <v>40</v>
      </c>
      <c r="F30" s="41">
        <f>C30</f>
        <v>4.7433333333333332</v>
      </c>
      <c r="G30" s="41">
        <f>F30+J31</f>
        <v>5.4700415687616148</v>
      </c>
      <c r="H30" t="s">
        <v>59</v>
      </c>
      <c r="I30" t="s">
        <v>42</v>
      </c>
      <c r="J30">
        <v>3.65</v>
      </c>
      <c r="X30" t="s">
        <v>41</v>
      </c>
      <c r="Y30" t="s">
        <v>38</v>
      </c>
      <c r="Z30">
        <v>3</v>
      </c>
      <c r="AA30">
        <f>E12</f>
        <v>4.41</v>
      </c>
    </row>
    <row r="31" spans="2:27" ht="15.75" x14ac:dyDescent="0.25">
      <c r="B31" s="1" t="s">
        <v>41</v>
      </c>
      <c r="C31" s="41">
        <f>G22</f>
        <v>4.405555555555555</v>
      </c>
      <c r="E31" t="s">
        <v>39</v>
      </c>
      <c r="F31" s="41">
        <f>C29</f>
        <v>5.6366666666666667</v>
      </c>
      <c r="G31" s="41">
        <f>F31+J31</f>
        <v>6.3633749020949484</v>
      </c>
      <c r="H31" s="1" t="s">
        <v>61</v>
      </c>
      <c r="I31" t="s">
        <v>43</v>
      </c>
      <c r="J31" s="41">
        <f>J29*J30</f>
        <v>0.72670823542828178</v>
      </c>
    </row>
    <row r="32" spans="2:27" ht="15.75" customHeight="1" x14ac:dyDescent="0.25">
      <c r="B32" s="85" t="s">
        <v>123</v>
      </c>
      <c r="C32" s="85"/>
      <c r="D32" s="85"/>
      <c r="E32" s="85"/>
      <c r="F32" s="85"/>
      <c r="G32" s="85"/>
      <c r="H32" s="85"/>
      <c r="I32" s="85"/>
      <c r="J32" s="85"/>
    </row>
    <row r="33" spans="2:10" ht="15.75" customHeight="1" x14ac:dyDescent="0.25">
      <c r="B33" s="85"/>
      <c r="C33" s="85"/>
      <c r="D33" s="85"/>
      <c r="E33" s="85"/>
      <c r="F33" s="85"/>
      <c r="G33" s="85"/>
      <c r="H33" s="85"/>
      <c r="I33" s="85"/>
      <c r="J33" s="85"/>
    </row>
    <row r="35" spans="2:10" ht="15.75" x14ac:dyDescent="0.25">
      <c r="B35" s="1" t="s">
        <v>0</v>
      </c>
      <c r="C35" t="s">
        <v>49</v>
      </c>
      <c r="E35" s="78" t="s">
        <v>96</v>
      </c>
      <c r="F35" s="78"/>
      <c r="G35" t="s">
        <v>94</v>
      </c>
      <c r="H35" s="1" t="s">
        <v>95</v>
      </c>
      <c r="I35" s="78" t="s">
        <v>104</v>
      </c>
      <c r="J35" s="78"/>
    </row>
    <row r="36" spans="2:10" x14ac:dyDescent="0.25">
      <c r="B36" t="s">
        <v>36</v>
      </c>
      <c r="C36" s="41">
        <f>C24</f>
        <v>4.8566666666666674</v>
      </c>
      <c r="E36" t="s">
        <v>37</v>
      </c>
      <c r="F36" s="41">
        <f>C37</f>
        <v>4.7844444444444445</v>
      </c>
      <c r="G36" s="41">
        <f>F36+J38</f>
        <v>5.5111526798727262</v>
      </c>
      <c r="H36" t="s">
        <v>59</v>
      </c>
      <c r="I36" t="s">
        <v>111</v>
      </c>
      <c r="J36">
        <f>SQRT(L18/(J4*J5))</f>
        <v>0.19909814669267994</v>
      </c>
    </row>
    <row r="37" spans="2:10" ht="15.75" x14ac:dyDescent="0.25">
      <c r="B37" s="1" t="s">
        <v>37</v>
      </c>
      <c r="C37" s="41">
        <f>D24</f>
        <v>4.7844444444444445</v>
      </c>
      <c r="E37" t="s">
        <v>36</v>
      </c>
      <c r="F37" s="41">
        <f>C36</f>
        <v>4.8566666666666674</v>
      </c>
      <c r="H37" s="1" t="s">
        <v>59</v>
      </c>
      <c r="I37" t="s">
        <v>42</v>
      </c>
      <c r="J37">
        <v>3.65</v>
      </c>
    </row>
    <row r="38" spans="2:10" x14ac:dyDescent="0.25">
      <c r="B38" t="s">
        <v>38</v>
      </c>
      <c r="C38" s="41">
        <f>E24</f>
        <v>5.1444444444444439</v>
      </c>
      <c r="E38" t="s">
        <v>38</v>
      </c>
      <c r="F38" s="41">
        <f>C38</f>
        <v>5.1444444444444439</v>
      </c>
      <c r="H38" t="s">
        <v>59</v>
      </c>
      <c r="I38" t="s">
        <v>43</v>
      </c>
      <c r="J38">
        <f>J37*J36</f>
        <v>0.72670823542828178</v>
      </c>
    </row>
    <row r="39" spans="2:10" x14ac:dyDescent="0.25">
      <c r="B39" s="87" t="s">
        <v>122</v>
      </c>
      <c r="C39" s="87"/>
      <c r="D39" s="87"/>
      <c r="E39" s="87"/>
      <c r="F39" s="87"/>
      <c r="G39" s="87"/>
      <c r="H39" s="87"/>
      <c r="I39" s="87"/>
      <c r="J39" s="87"/>
    </row>
    <row r="40" spans="2:10" x14ac:dyDescent="0.25">
      <c r="B40" s="87"/>
      <c r="C40" s="87"/>
      <c r="D40" s="87"/>
      <c r="E40" s="87"/>
      <c r="F40" s="87"/>
      <c r="G40" s="87"/>
      <c r="H40" s="87"/>
      <c r="I40" s="87"/>
      <c r="J40" s="87"/>
    </row>
    <row r="42" spans="2:10" x14ac:dyDescent="0.25">
      <c r="B42" t="s">
        <v>0</v>
      </c>
      <c r="C42" t="s">
        <v>49</v>
      </c>
      <c r="E42" s="78" t="s">
        <v>96</v>
      </c>
      <c r="F42" s="78"/>
      <c r="G42" t="s">
        <v>94</v>
      </c>
      <c r="H42" t="s">
        <v>95</v>
      </c>
      <c r="I42" s="78" t="s">
        <v>106</v>
      </c>
      <c r="J42" s="78"/>
    </row>
    <row r="43" spans="2:10" x14ac:dyDescent="0.25">
      <c r="B43" t="s">
        <v>8</v>
      </c>
      <c r="C43" s="41">
        <f t="shared" ref="C43:C51" si="4">G4</f>
        <v>5.6266666666666678</v>
      </c>
      <c r="E43" t="s">
        <v>17</v>
      </c>
      <c r="F43" s="41">
        <f>C49</f>
        <v>4.3633333333333333</v>
      </c>
      <c r="G43" s="41">
        <f>J45+F43</f>
        <v>5.9358406956195582</v>
      </c>
      <c r="H43" t="s">
        <v>59</v>
      </c>
      <c r="I43" t="s">
        <v>111</v>
      </c>
      <c r="J43">
        <f>SQRT(L18/J5)</f>
        <v>0.34484810576452307</v>
      </c>
    </row>
    <row r="44" spans="2:10" x14ac:dyDescent="0.25">
      <c r="B44" t="s">
        <v>10</v>
      </c>
      <c r="C44" s="41">
        <f t="shared" si="4"/>
        <v>5.083333333333333</v>
      </c>
      <c r="E44" t="s">
        <v>26</v>
      </c>
      <c r="F44" s="41">
        <f>C51</f>
        <v>4.3933333333333335</v>
      </c>
      <c r="G44" s="41">
        <f>F44+J45</f>
        <v>5.9658406956195584</v>
      </c>
      <c r="H44" t="s">
        <v>59</v>
      </c>
      <c r="I44" t="s">
        <v>42</v>
      </c>
      <c r="J44">
        <v>4.5599999999999996</v>
      </c>
    </row>
    <row r="45" spans="2:10" x14ac:dyDescent="0.25">
      <c r="B45" t="s">
        <v>12</v>
      </c>
      <c r="C45" s="41">
        <f t="shared" si="4"/>
        <v>6.1999999999999993</v>
      </c>
      <c r="E45" t="s">
        <v>18</v>
      </c>
      <c r="F45" s="41">
        <f>C50</f>
        <v>4.46</v>
      </c>
      <c r="G45" s="41">
        <f>F45+J45</f>
        <v>6.0325073622862249</v>
      </c>
      <c r="H45" t="s">
        <v>59</v>
      </c>
      <c r="I45" t="s">
        <v>43</v>
      </c>
      <c r="J45">
        <f>J43*J44</f>
        <v>1.5725073622862251</v>
      </c>
    </row>
    <row r="46" spans="2:10" x14ac:dyDescent="0.25">
      <c r="B46" t="s">
        <v>13</v>
      </c>
      <c r="C46" s="41">
        <f t="shared" si="4"/>
        <v>4.58</v>
      </c>
      <c r="E46" t="s">
        <v>13</v>
      </c>
      <c r="F46" s="41">
        <f>C46</f>
        <v>4.58</v>
      </c>
      <c r="G46" s="41">
        <f>F46+J45</f>
        <v>6.152507362286225</v>
      </c>
      <c r="H46" t="s">
        <v>59</v>
      </c>
    </row>
    <row r="47" spans="2:10" x14ac:dyDescent="0.25">
      <c r="B47" t="s">
        <v>15</v>
      </c>
      <c r="C47" s="41">
        <f t="shared" si="4"/>
        <v>4.8099999999999996</v>
      </c>
      <c r="E47" t="s">
        <v>15</v>
      </c>
      <c r="F47" s="41">
        <f>C47</f>
        <v>4.8099999999999996</v>
      </c>
      <c r="G47" s="41">
        <f>F47+J45</f>
        <v>6.3825073622862245</v>
      </c>
      <c r="H47" t="s">
        <v>57</v>
      </c>
    </row>
    <row r="48" spans="2:10" x14ac:dyDescent="0.25">
      <c r="B48" t="s">
        <v>16</v>
      </c>
      <c r="C48" s="41">
        <f t="shared" si="4"/>
        <v>4.84</v>
      </c>
      <c r="E48" t="s">
        <v>16</v>
      </c>
      <c r="F48" s="41">
        <f>C48</f>
        <v>4.84</v>
      </c>
      <c r="H48" t="s">
        <v>57</v>
      </c>
    </row>
    <row r="49" spans="2:8" x14ac:dyDescent="0.25">
      <c r="B49" t="s">
        <v>17</v>
      </c>
      <c r="C49" s="41">
        <f t="shared" si="4"/>
        <v>4.3633333333333333</v>
      </c>
      <c r="E49" t="s">
        <v>10</v>
      </c>
      <c r="F49" s="41">
        <f>C44</f>
        <v>5.083333333333333</v>
      </c>
      <c r="H49" t="s">
        <v>57</v>
      </c>
    </row>
    <row r="50" spans="2:8" x14ac:dyDescent="0.25">
      <c r="B50" t="s">
        <v>18</v>
      </c>
      <c r="C50" s="41">
        <f t="shared" si="4"/>
        <v>4.46</v>
      </c>
      <c r="E50" t="s">
        <v>8</v>
      </c>
      <c r="F50" s="41">
        <f>C43</f>
        <v>5.6266666666666678</v>
      </c>
      <c r="H50" t="s">
        <v>57</v>
      </c>
    </row>
    <row r="51" spans="2:8" x14ac:dyDescent="0.25">
      <c r="B51" t="s">
        <v>26</v>
      </c>
      <c r="C51" s="41">
        <f t="shared" si="4"/>
        <v>4.3933333333333335</v>
      </c>
      <c r="E51" t="s">
        <v>12</v>
      </c>
      <c r="F51" s="41">
        <f>C45</f>
        <v>6.1999999999999993</v>
      </c>
      <c r="H51" t="s">
        <v>61</v>
      </c>
    </row>
  </sheetData>
  <mergeCells count="24">
    <mergeCell ref="N21:V25"/>
    <mergeCell ref="M11:M12"/>
    <mergeCell ref="N11:O11"/>
    <mergeCell ref="P11:P12"/>
    <mergeCell ref="B2:B3"/>
    <mergeCell ref="C2:E2"/>
    <mergeCell ref="F2:F3"/>
    <mergeCell ref="G2:G3"/>
    <mergeCell ref="K11:K12"/>
    <mergeCell ref="I11:I12"/>
    <mergeCell ref="J11:J12"/>
    <mergeCell ref="B18:B19"/>
    <mergeCell ref="C18:E18"/>
    <mergeCell ref="F18:F19"/>
    <mergeCell ref="G18:G19"/>
    <mergeCell ref="L11:L12"/>
    <mergeCell ref="E28:F28"/>
    <mergeCell ref="I28:J28"/>
    <mergeCell ref="E35:F35"/>
    <mergeCell ref="I35:J35"/>
    <mergeCell ref="E42:F42"/>
    <mergeCell ref="I42:J42"/>
    <mergeCell ref="B39:J40"/>
    <mergeCell ref="B32:J3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A50"/>
  <sheetViews>
    <sheetView topLeftCell="A11" zoomScale="75" zoomScaleNormal="75" workbookViewId="0">
      <selection activeCell="Q33" sqref="Q33"/>
    </sheetView>
  </sheetViews>
  <sheetFormatPr defaultRowHeight="15" x14ac:dyDescent="0.25"/>
  <cols>
    <col min="2" max="2" width="12.42578125" customWidth="1"/>
    <col min="4" max="6" width="9.28515625" bestFit="1" customWidth="1"/>
    <col min="7" max="7" width="11.5703125" customWidth="1"/>
    <col min="8" max="8" width="9.28515625" bestFit="1" customWidth="1"/>
    <col min="9" max="9" width="17.7109375" customWidth="1"/>
    <col min="10" max="10" width="9.85546875" bestFit="1" customWidth="1"/>
    <col min="11" max="11" width="11.7109375" customWidth="1"/>
    <col min="12" max="12" width="9.85546875" bestFit="1" customWidth="1"/>
    <col min="13" max="15" width="9.28515625" bestFit="1" customWidth="1"/>
  </cols>
  <sheetData>
    <row r="2" spans="2:27" ht="15.75" x14ac:dyDescent="0.25">
      <c r="B2" s="77" t="s">
        <v>0</v>
      </c>
      <c r="C2" s="77" t="s">
        <v>1</v>
      </c>
      <c r="D2" s="77"/>
      <c r="E2" s="77"/>
      <c r="F2" s="77" t="s">
        <v>2</v>
      </c>
      <c r="G2" s="77" t="s">
        <v>3</v>
      </c>
      <c r="H2" s="1"/>
      <c r="I2" s="1"/>
      <c r="J2" s="1"/>
      <c r="K2" s="1"/>
      <c r="L2" s="1"/>
      <c r="M2" s="1"/>
      <c r="N2" s="1"/>
      <c r="O2" s="1"/>
      <c r="P2" s="1"/>
      <c r="U2" s="21"/>
    </row>
    <row r="3" spans="2:27" ht="15.75" x14ac:dyDescent="0.25">
      <c r="B3" s="77"/>
      <c r="C3" s="2" t="s">
        <v>4</v>
      </c>
      <c r="D3" s="2" t="s">
        <v>5</v>
      </c>
      <c r="E3" s="2" t="s">
        <v>6</v>
      </c>
      <c r="F3" s="77"/>
      <c r="G3" s="77"/>
      <c r="H3" s="1"/>
      <c r="I3" s="3" t="s">
        <v>7</v>
      </c>
      <c r="J3" s="1">
        <v>3</v>
      </c>
      <c r="K3" s="1"/>
      <c r="L3" s="1"/>
      <c r="M3" s="1"/>
      <c r="N3" s="1"/>
      <c r="O3" s="1"/>
      <c r="P3" s="1"/>
      <c r="U3" s="21"/>
      <c r="W3" s="53" t="s">
        <v>51</v>
      </c>
      <c r="X3" s="21" t="s">
        <v>52</v>
      </c>
      <c r="Y3" s="21" t="s">
        <v>53</v>
      </c>
      <c r="Z3" s="21" t="s">
        <v>54</v>
      </c>
      <c r="AA3" s="21"/>
    </row>
    <row r="4" spans="2:27" ht="15.75" x14ac:dyDescent="0.25">
      <c r="B4" s="4" t="s">
        <v>79</v>
      </c>
      <c r="C4" s="4">
        <v>20.74</v>
      </c>
      <c r="D4" s="4">
        <v>16.87</v>
      </c>
      <c r="E4" s="4">
        <v>18.47</v>
      </c>
      <c r="F4" s="4">
        <f>SUM(C4:E4)</f>
        <v>56.08</v>
      </c>
      <c r="G4" s="5">
        <f>AVERAGE(C4:E4)</f>
        <v>18.693333333333332</v>
      </c>
      <c r="H4" s="6">
        <f>STDEV(C4:E4)</f>
        <v>1.9446422121648312</v>
      </c>
      <c r="I4" s="3" t="s">
        <v>9</v>
      </c>
      <c r="J4" s="1">
        <v>3</v>
      </c>
      <c r="K4" s="1"/>
      <c r="L4" s="1"/>
      <c r="M4" s="1"/>
      <c r="N4" s="1"/>
      <c r="O4" s="1"/>
      <c r="P4" s="1"/>
      <c r="U4" s="21"/>
      <c r="W4" t="s">
        <v>39</v>
      </c>
      <c r="X4" t="s">
        <v>36</v>
      </c>
      <c r="Y4">
        <v>1</v>
      </c>
      <c r="Z4">
        <f>C4</f>
        <v>20.74</v>
      </c>
    </row>
    <row r="5" spans="2:27" ht="15.75" x14ac:dyDescent="0.25">
      <c r="B5" s="4" t="s">
        <v>80</v>
      </c>
      <c r="C5" s="4">
        <v>16.48</v>
      </c>
      <c r="D5" s="4">
        <v>16.97</v>
      </c>
      <c r="E5" s="4">
        <v>18.66</v>
      </c>
      <c r="F5" s="4">
        <f t="shared" ref="F5:F12" si="0">SUM(C5:E5)</f>
        <v>52.11</v>
      </c>
      <c r="G5" s="5">
        <f t="shared" ref="G5:G12" si="1">AVERAGE(C5:E5)</f>
        <v>17.37</v>
      </c>
      <c r="H5" s="6">
        <f t="shared" ref="H5:H12" si="2">STDEV(C5:E5)</f>
        <v>1.1437219941926449</v>
      </c>
      <c r="I5" s="3" t="s">
        <v>11</v>
      </c>
      <c r="J5" s="1">
        <v>3</v>
      </c>
      <c r="K5" s="1"/>
      <c r="L5" s="1"/>
      <c r="M5" s="1"/>
      <c r="N5" s="1"/>
      <c r="O5" s="1"/>
      <c r="P5" s="1"/>
      <c r="U5" s="21"/>
      <c r="W5" t="s">
        <v>39</v>
      </c>
      <c r="X5" t="s">
        <v>36</v>
      </c>
      <c r="Y5">
        <v>2</v>
      </c>
      <c r="Z5">
        <f>D4</f>
        <v>16.87</v>
      </c>
    </row>
    <row r="6" spans="2:27" ht="15.75" x14ac:dyDescent="0.25">
      <c r="B6" s="4" t="s">
        <v>87</v>
      </c>
      <c r="C6" s="4">
        <v>18.16</v>
      </c>
      <c r="D6" s="4">
        <v>17.47</v>
      </c>
      <c r="E6" s="20">
        <v>22.2</v>
      </c>
      <c r="F6" s="4">
        <f t="shared" si="0"/>
        <v>57.83</v>
      </c>
      <c r="G6" s="5">
        <f t="shared" si="1"/>
        <v>19.276666666666667</v>
      </c>
      <c r="H6" s="6">
        <f t="shared" si="2"/>
        <v>2.55507990742624</v>
      </c>
      <c r="I6" s="1"/>
      <c r="J6" s="1"/>
      <c r="K6" s="1"/>
      <c r="L6" s="1"/>
      <c r="M6" s="1"/>
      <c r="N6" s="1"/>
      <c r="O6" s="1"/>
      <c r="P6" s="1"/>
      <c r="U6" s="21"/>
      <c r="W6" t="s">
        <v>39</v>
      </c>
      <c r="X6" t="s">
        <v>36</v>
      </c>
      <c r="Y6">
        <v>3</v>
      </c>
      <c r="Z6">
        <f>E4</f>
        <v>18.47</v>
      </c>
    </row>
    <row r="7" spans="2:27" ht="15.75" x14ac:dyDescent="0.25">
      <c r="B7" s="4" t="s">
        <v>81</v>
      </c>
      <c r="C7" s="4">
        <v>14.65</v>
      </c>
      <c r="D7" s="4">
        <v>16.190000000000001</v>
      </c>
      <c r="E7" s="4">
        <v>16.34</v>
      </c>
      <c r="F7" s="4">
        <f t="shared" si="0"/>
        <v>47.180000000000007</v>
      </c>
      <c r="G7" s="5">
        <f t="shared" si="1"/>
        <v>15.726666666666668</v>
      </c>
      <c r="H7" s="6">
        <f t="shared" si="2"/>
        <v>0.93543216393992645</v>
      </c>
      <c r="I7" s="1" t="s">
        <v>14</v>
      </c>
      <c r="J7" s="7">
        <f>(F13^2)/(J3*J4*J5)</f>
        <v>6986.4393481481466</v>
      </c>
      <c r="K7" s="1"/>
      <c r="L7" s="1"/>
      <c r="M7" s="1"/>
      <c r="N7" s="1"/>
      <c r="O7" s="1"/>
      <c r="P7" s="1"/>
      <c r="U7" s="21"/>
      <c r="W7" t="s">
        <v>39</v>
      </c>
      <c r="X7" t="s">
        <v>37</v>
      </c>
      <c r="Y7">
        <v>1</v>
      </c>
      <c r="Z7">
        <f>C5</f>
        <v>16.48</v>
      </c>
    </row>
    <row r="8" spans="2:27" ht="15.75" x14ac:dyDescent="0.25">
      <c r="B8" s="4" t="s">
        <v>82</v>
      </c>
      <c r="C8" s="4">
        <v>16.309999999999999</v>
      </c>
      <c r="D8" s="4">
        <v>14.33</v>
      </c>
      <c r="E8" s="4">
        <v>14.93</v>
      </c>
      <c r="F8" s="4">
        <f t="shared" si="0"/>
        <v>45.57</v>
      </c>
      <c r="G8" s="5">
        <f t="shared" si="1"/>
        <v>15.19</v>
      </c>
      <c r="H8" s="6">
        <f t="shared" si="2"/>
        <v>1.0152832117197637</v>
      </c>
      <c r="I8" s="1"/>
      <c r="J8" s="1"/>
      <c r="K8" s="1"/>
      <c r="L8" s="1"/>
      <c r="M8" s="1"/>
      <c r="N8" s="1"/>
      <c r="O8" s="1"/>
      <c r="P8" s="1"/>
      <c r="U8" s="21"/>
      <c r="W8" t="s">
        <v>39</v>
      </c>
      <c r="X8" t="s">
        <v>37</v>
      </c>
      <c r="Y8">
        <v>2</v>
      </c>
      <c r="Z8">
        <f>D5</f>
        <v>16.97</v>
      </c>
    </row>
    <row r="9" spans="2:27" ht="15.75" x14ac:dyDescent="0.25">
      <c r="B9" s="4" t="s">
        <v>83</v>
      </c>
      <c r="C9" s="4">
        <v>13.16</v>
      </c>
      <c r="D9" s="4">
        <v>14.15</v>
      </c>
      <c r="E9" s="4">
        <v>17.72</v>
      </c>
      <c r="F9" s="4">
        <f t="shared" si="0"/>
        <v>45.03</v>
      </c>
      <c r="G9" s="5">
        <f t="shared" si="1"/>
        <v>15.01</v>
      </c>
      <c r="H9" s="6">
        <f t="shared" si="2"/>
        <v>2.398562069240644</v>
      </c>
      <c r="I9" s="1"/>
      <c r="J9" s="1"/>
      <c r="K9" s="1"/>
      <c r="L9" s="1"/>
      <c r="M9" s="1"/>
      <c r="N9" s="1"/>
      <c r="O9" s="1"/>
      <c r="P9" s="1"/>
      <c r="U9" s="21"/>
      <c r="W9" t="s">
        <v>39</v>
      </c>
      <c r="X9" t="s">
        <v>37</v>
      </c>
      <c r="Y9">
        <v>3</v>
      </c>
      <c r="Z9">
        <f>E5</f>
        <v>18.66</v>
      </c>
    </row>
    <row r="10" spans="2:27" ht="15.75" x14ac:dyDescent="0.25">
      <c r="B10" s="4" t="s">
        <v>84</v>
      </c>
      <c r="C10" s="4">
        <v>14.45</v>
      </c>
      <c r="D10" s="4">
        <v>16.170000000000002</v>
      </c>
      <c r="E10" s="4">
        <v>12.16</v>
      </c>
      <c r="F10" s="4">
        <f t="shared" si="0"/>
        <v>42.78</v>
      </c>
      <c r="G10" s="5">
        <f t="shared" si="1"/>
        <v>14.26</v>
      </c>
      <c r="H10" s="6">
        <f t="shared" si="2"/>
        <v>2.011740539930535</v>
      </c>
      <c r="I10" s="1"/>
      <c r="J10" s="1"/>
      <c r="K10" s="1"/>
      <c r="L10" s="1"/>
      <c r="M10" s="1"/>
      <c r="N10" s="1"/>
      <c r="O10" s="1"/>
      <c r="P10" s="1"/>
      <c r="U10" s="21"/>
      <c r="W10" t="s">
        <v>39</v>
      </c>
      <c r="X10" t="s">
        <v>38</v>
      </c>
      <c r="Y10">
        <v>1</v>
      </c>
      <c r="Z10">
        <f>C6</f>
        <v>18.16</v>
      </c>
    </row>
    <row r="11" spans="2:27" ht="15.75" x14ac:dyDescent="0.25">
      <c r="B11" s="4" t="s">
        <v>85</v>
      </c>
      <c r="C11" s="4">
        <v>16.41</v>
      </c>
      <c r="D11" s="4">
        <v>15.23</v>
      </c>
      <c r="E11" s="4">
        <v>13.47</v>
      </c>
      <c r="F11" s="4">
        <f t="shared" si="0"/>
        <v>45.11</v>
      </c>
      <c r="G11" s="5">
        <f t="shared" si="1"/>
        <v>15.036666666666667</v>
      </c>
      <c r="H11" s="6">
        <f t="shared" si="2"/>
        <v>1.4795044215322009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U11" s="21"/>
      <c r="W11" t="s">
        <v>39</v>
      </c>
      <c r="X11" t="s">
        <v>38</v>
      </c>
      <c r="Y11">
        <v>2</v>
      </c>
      <c r="Z11">
        <f>D6</f>
        <v>17.47</v>
      </c>
    </row>
    <row r="12" spans="2:27" ht="15.75" x14ac:dyDescent="0.25">
      <c r="B12" s="4" t="s">
        <v>86</v>
      </c>
      <c r="C12" s="4">
        <v>11.28</v>
      </c>
      <c r="D12" s="4">
        <v>16.27</v>
      </c>
      <c r="E12" s="4">
        <v>15.08</v>
      </c>
      <c r="F12" s="4">
        <f t="shared" si="0"/>
        <v>42.629999999999995</v>
      </c>
      <c r="G12" s="5">
        <f t="shared" si="1"/>
        <v>14.209999999999999</v>
      </c>
      <c r="H12" s="6">
        <f t="shared" si="2"/>
        <v>2.6062808751168829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U12" s="21"/>
      <c r="W12" t="s">
        <v>39</v>
      </c>
      <c r="X12" t="s">
        <v>38</v>
      </c>
      <c r="Y12">
        <v>3</v>
      </c>
      <c r="Z12" s="41">
        <f>E6</f>
        <v>22.2</v>
      </c>
    </row>
    <row r="13" spans="2:27" ht="15.75" x14ac:dyDescent="0.25">
      <c r="B13" s="2" t="s">
        <v>2</v>
      </c>
      <c r="C13" s="4">
        <f>SUM(C4:C12)</f>
        <v>141.64000000000001</v>
      </c>
      <c r="D13" s="4">
        <f>SUM(D4:D12)</f>
        <v>143.65</v>
      </c>
      <c r="E13" s="4">
        <f>SUM(E4:E12)</f>
        <v>149.03</v>
      </c>
      <c r="F13" s="10">
        <f>SUM(F4:F12)</f>
        <v>434.31999999999994</v>
      </c>
      <c r="G13" s="11"/>
      <c r="H13" s="1"/>
      <c r="I13" s="1" t="s">
        <v>27</v>
      </c>
      <c r="J13" s="1">
        <f>(J5-1)</f>
        <v>2</v>
      </c>
      <c r="K13" s="12">
        <f>SUMSQ(C13:E13)/(J3*J4)-J7</f>
        <v>3.2443185185211405</v>
      </c>
      <c r="L13" s="12">
        <f t="shared" ref="L13:L18" si="3">K13/J13</f>
        <v>1.6221592592605703</v>
      </c>
      <c r="M13" s="13">
        <f>L13/L18</f>
        <v>0.42293742407630797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t="s">
        <v>25</v>
      </c>
      <c r="S13" t="s">
        <v>28</v>
      </c>
      <c r="T13" t="s">
        <v>29</v>
      </c>
      <c r="U13" s="21"/>
      <c r="W13" t="s">
        <v>40</v>
      </c>
      <c r="X13" t="s">
        <v>36</v>
      </c>
      <c r="Y13">
        <v>1</v>
      </c>
      <c r="Z13">
        <f>C7</f>
        <v>14.65</v>
      </c>
    </row>
    <row r="14" spans="2:27" ht="15.75" x14ac:dyDescent="0.25">
      <c r="B14" s="1"/>
      <c r="C14" s="1"/>
      <c r="D14" s="1"/>
      <c r="E14" s="1"/>
      <c r="F14" s="1"/>
      <c r="G14" s="1"/>
      <c r="H14" s="1"/>
      <c r="I14" s="1" t="s">
        <v>0</v>
      </c>
      <c r="J14" s="1">
        <f>(J3*J4-1)</f>
        <v>8</v>
      </c>
      <c r="K14" s="12">
        <f>SUMSQ(F4:F12)/J5-J7</f>
        <v>86.01498518518747</v>
      </c>
      <c r="L14" s="12">
        <f t="shared" si="3"/>
        <v>10.751873148148434</v>
      </c>
      <c r="M14" s="13">
        <f>L14/L18</f>
        <v>2.8032818031356257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*</v>
      </c>
      <c r="S14" t="s">
        <v>30</v>
      </c>
      <c r="T14" t="s">
        <v>31</v>
      </c>
      <c r="U14" s="21"/>
      <c r="W14" t="s">
        <v>40</v>
      </c>
      <c r="X14" t="s">
        <v>36</v>
      </c>
      <c r="Y14">
        <v>2</v>
      </c>
      <c r="Z14">
        <f>D7</f>
        <v>16.190000000000001</v>
      </c>
    </row>
    <row r="15" spans="2:27" ht="15.75" x14ac:dyDescent="0.25">
      <c r="B15" s="1"/>
      <c r="C15" s="1"/>
      <c r="D15" s="1"/>
      <c r="E15" s="1"/>
      <c r="F15" s="1"/>
      <c r="G15" s="1"/>
      <c r="H15" s="1"/>
      <c r="I15" s="24" t="s">
        <v>7</v>
      </c>
      <c r="J15" s="1">
        <f>(J3-1)</f>
        <v>2</v>
      </c>
      <c r="K15" s="12">
        <f>SUMSQ(F20:F22)/(J3*J5)-J7</f>
        <v>78.165007407406847</v>
      </c>
      <c r="L15" s="12">
        <f t="shared" si="3"/>
        <v>39.082503703703424</v>
      </c>
      <c r="M15" s="13">
        <f>L15/L18</f>
        <v>10.189784602549889</v>
      </c>
      <c r="N15" s="13">
        <f>FINV(N12,J15,J18)</f>
        <v>3.6337234675916301</v>
      </c>
      <c r="O15" s="13">
        <f>FINV(O12,J15,J18)</f>
        <v>6.2262352803113821</v>
      </c>
      <c r="P15" s="1" t="str">
        <f>IF(M15&lt;N15,"tn",IF(M15&lt;O15,"*","**"))</f>
        <v>**</v>
      </c>
      <c r="S15" t="s">
        <v>32</v>
      </c>
      <c r="T15" t="s">
        <v>33</v>
      </c>
      <c r="U15" s="21"/>
      <c r="W15" t="s">
        <v>40</v>
      </c>
      <c r="X15" t="s">
        <v>36</v>
      </c>
      <c r="Y15">
        <v>3</v>
      </c>
      <c r="Z15">
        <f>E7</f>
        <v>16.34</v>
      </c>
    </row>
    <row r="16" spans="2:27" ht="15.75" x14ac:dyDescent="0.25">
      <c r="B16" s="1"/>
      <c r="C16" s="1"/>
      <c r="D16" s="1"/>
      <c r="E16" s="1"/>
      <c r="F16" s="1"/>
      <c r="G16" s="1"/>
      <c r="H16" s="1"/>
      <c r="I16" s="24" t="s">
        <v>9</v>
      </c>
      <c r="J16" s="1">
        <f>(J4-1)</f>
        <v>2</v>
      </c>
      <c r="K16" s="12">
        <f>SUMSQ(C23:E23)/(J4*J5)-J7</f>
        <v>0.67240740741090121</v>
      </c>
      <c r="L16" s="12">
        <f t="shared" si="3"/>
        <v>0.33620370370545061</v>
      </c>
      <c r="M16" s="13">
        <f>L16/L18</f>
        <v>8.7656700535626533E-2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tn</v>
      </c>
      <c r="U16" s="21"/>
      <c r="W16" t="s">
        <v>40</v>
      </c>
      <c r="X16" t="s">
        <v>37</v>
      </c>
      <c r="Y16">
        <v>1</v>
      </c>
      <c r="Z16">
        <f>C8</f>
        <v>16.309999999999999</v>
      </c>
    </row>
    <row r="17" spans="2:26" ht="15.75" x14ac:dyDescent="0.25">
      <c r="B17" s="1"/>
      <c r="C17" s="1"/>
      <c r="D17" s="1" t="s">
        <v>34</v>
      </c>
      <c r="E17" s="1"/>
      <c r="F17" s="1"/>
      <c r="G17" s="1"/>
      <c r="H17" s="1"/>
      <c r="I17" s="24" t="s">
        <v>44</v>
      </c>
      <c r="J17" s="1">
        <f>(J3-1)*(J4-1)</f>
        <v>4</v>
      </c>
      <c r="K17" s="12">
        <f>K14-K15-K16</f>
        <v>7.1775703703697218</v>
      </c>
      <c r="L17" s="12">
        <f t="shared" si="3"/>
        <v>1.7943925925924304</v>
      </c>
      <c r="M17" s="13">
        <f>L17/L18</f>
        <v>0.46784295472849408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tn</v>
      </c>
      <c r="U17" s="21"/>
      <c r="W17" t="s">
        <v>40</v>
      </c>
      <c r="X17" t="s">
        <v>37</v>
      </c>
      <c r="Y17">
        <v>2</v>
      </c>
      <c r="Z17">
        <f>D8</f>
        <v>14.33</v>
      </c>
    </row>
    <row r="18" spans="2:26" ht="15.75" x14ac:dyDescent="0.25">
      <c r="B18" s="79" t="s">
        <v>7</v>
      </c>
      <c r="C18" s="79" t="s">
        <v>9</v>
      </c>
      <c r="D18" s="79"/>
      <c r="E18" s="79"/>
      <c r="F18" s="80" t="s">
        <v>2</v>
      </c>
      <c r="G18" s="80" t="s">
        <v>3</v>
      </c>
      <c r="H18" s="1"/>
      <c r="I18" s="1" t="s">
        <v>35</v>
      </c>
      <c r="J18" s="1">
        <f>(J3*J4-1)*(J5-1)</f>
        <v>16</v>
      </c>
      <c r="K18" s="12">
        <f>K19-K13-K14</f>
        <v>61.3673481481419</v>
      </c>
      <c r="L18" s="12">
        <f t="shared" si="3"/>
        <v>3.8354592592588688</v>
      </c>
      <c r="M18" s="14"/>
      <c r="N18" s="14"/>
      <c r="O18" s="14"/>
      <c r="P18" s="14"/>
      <c r="U18" s="21"/>
      <c r="W18" t="s">
        <v>40</v>
      </c>
      <c r="X18" t="s">
        <v>37</v>
      </c>
      <c r="Y18">
        <v>3</v>
      </c>
      <c r="Z18">
        <f>E8</f>
        <v>14.93</v>
      </c>
    </row>
    <row r="19" spans="2:26" ht="15.75" x14ac:dyDescent="0.25">
      <c r="B19" s="79"/>
      <c r="C19" s="4" t="s">
        <v>36</v>
      </c>
      <c r="D19" s="4" t="s">
        <v>37</v>
      </c>
      <c r="E19" s="4" t="s">
        <v>38</v>
      </c>
      <c r="F19" s="80"/>
      <c r="G19" s="80"/>
      <c r="H19" s="1"/>
      <c r="I19" s="15" t="s">
        <v>2</v>
      </c>
      <c r="J19" s="15">
        <f>(J3*J4*J5-1)</f>
        <v>26</v>
      </c>
      <c r="K19" s="16">
        <f>SUMSQ(C4:E12)-J7</f>
        <v>150.62665185185051</v>
      </c>
      <c r="L19" s="17"/>
      <c r="M19" s="17"/>
      <c r="N19" s="17"/>
      <c r="O19" s="17"/>
      <c r="P19" s="17"/>
      <c r="U19" s="21"/>
      <c r="W19" t="s">
        <v>40</v>
      </c>
      <c r="X19" t="s">
        <v>38</v>
      </c>
      <c r="Y19">
        <v>1</v>
      </c>
      <c r="Z19">
        <f>C9</f>
        <v>13.16</v>
      </c>
    </row>
    <row r="20" spans="2:26" ht="15.75" x14ac:dyDescent="0.25">
      <c r="B20" s="4" t="s">
        <v>39</v>
      </c>
      <c r="C20" s="4">
        <f>F4</f>
        <v>56.08</v>
      </c>
      <c r="D20" s="4">
        <f>F5</f>
        <v>52.11</v>
      </c>
      <c r="E20" s="4">
        <f>F6</f>
        <v>57.83</v>
      </c>
      <c r="F20" s="8">
        <f>SUM(C20:E20)</f>
        <v>166.01999999999998</v>
      </c>
      <c r="G20" s="18">
        <f>F20/9</f>
        <v>18.446666666666665</v>
      </c>
      <c r="H20" s="1"/>
      <c r="I20" s="1"/>
      <c r="J20" s="1"/>
      <c r="K20" s="1"/>
      <c r="L20" s="1"/>
      <c r="M20" s="1"/>
      <c r="N20" s="1"/>
      <c r="O20" s="1"/>
      <c r="P20" s="1"/>
      <c r="U20" s="21"/>
      <c r="W20" t="s">
        <v>40</v>
      </c>
      <c r="X20" t="s">
        <v>38</v>
      </c>
      <c r="Y20">
        <v>2</v>
      </c>
      <c r="Z20">
        <f>D9</f>
        <v>14.15</v>
      </c>
    </row>
    <row r="21" spans="2:26" ht="15.75" x14ac:dyDescent="0.25">
      <c r="B21" s="4" t="s">
        <v>40</v>
      </c>
      <c r="C21" s="4">
        <f>F7</f>
        <v>47.180000000000007</v>
      </c>
      <c r="D21" s="4">
        <f>F8</f>
        <v>45.57</v>
      </c>
      <c r="E21" s="4">
        <f>F9</f>
        <v>45.03</v>
      </c>
      <c r="F21" s="8">
        <f>SUM(C21:E21)</f>
        <v>137.78</v>
      </c>
      <c r="G21" s="18">
        <f>F21/9</f>
        <v>15.308888888888889</v>
      </c>
      <c r="H21" s="1"/>
      <c r="I21" s="1"/>
      <c r="J21" s="1"/>
      <c r="K21" s="1"/>
      <c r="L21" s="1"/>
      <c r="M21" s="85" t="s">
        <v>149</v>
      </c>
      <c r="N21" s="85"/>
      <c r="O21" s="85"/>
      <c r="P21" s="85"/>
      <c r="Q21" s="85"/>
      <c r="R21" s="85"/>
      <c r="S21" s="85"/>
      <c r="T21" s="85"/>
      <c r="U21" s="85"/>
      <c r="W21" t="s">
        <v>40</v>
      </c>
      <c r="X21" t="s">
        <v>38</v>
      </c>
      <c r="Y21">
        <v>3</v>
      </c>
      <c r="Z21">
        <f>E9</f>
        <v>17.72</v>
      </c>
    </row>
    <row r="22" spans="2:26" ht="15.75" x14ac:dyDescent="0.25">
      <c r="B22" s="4" t="s">
        <v>41</v>
      </c>
      <c r="C22" s="4">
        <f>F10</f>
        <v>42.78</v>
      </c>
      <c r="D22" s="4">
        <f>F11</f>
        <v>45.11</v>
      </c>
      <c r="E22" s="4">
        <f>F12</f>
        <v>42.629999999999995</v>
      </c>
      <c r="F22" s="8">
        <f>SUM(C22:E22)</f>
        <v>130.51999999999998</v>
      </c>
      <c r="G22" s="18">
        <f>F22/9</f>
        <v>14.502222222222221</v>
      </c>
      <c r="H22" s="1"/>
      <c r="I22" s="1" t="s">
        <v>108</v>
      </c>
      <c r="J22" s="1"/>
      <c r="K22" s="1"/>
      <c r="L22" s="1"/>
      <c r="M22" s="85"/>
      <c r="N22" s="85"/>
      <c r="O22" s="85"/>
      <c r="P22" s="85"/>
      <c r="Q22" s="85"/>
      <c r="R22" s="85"/>
      <c r="S22" s="85"/>
      <c r="T22" s="85"/>
      <c r="U22" s="85"/>
      <c r="W22" t="s">
        <v>41</v>
      </c>
      <c r="X22" t="s">
        <v>36</v>
      </c>
      <c r="Y22">
        <v>1</v>
      </c>
      <c r="Z22">
        <f>C10</f>
        <v>14.45</v>
      </c>
    </row>
    <row r="23" spans="2:26" ht="15.75" x14ac:dyDescent="0.25">
      <c r="B23" s="19" t="s">
        <v>2</v>
      </c>
      <c r="C23" s="8">
        <f>SUM(C20:C22)</f>
        <v>146.04000000000002</v>
      </c>
      <c r="D23" s="8">
        <f>SUM(D20:D22)</f>
        <v>142.79000000000002</v>
      </c>
      <c r="E23" s="8">
        <f>SUM(E20:E22)</f>
        <v>145.49</v>
      </c>
      <c r="F23" s="10">
        <f>SUM(F20:F22)</f>
        <v>434.31999999999994</v>
      </c>
      <c r="G23" s="4"/>
      <c r="H23" s="1"/>
      <c r="I23" s="1"/>
      <c r="J23" s="1"/>
      <c r="K23" s="1"/>
      <c r="L23" s="1"/>
      <c r="M23" s="85"/>
      <c r="N23" s="85"/>
      <c r="O23" s="85"/>
      <c r="P23" s="85"/>
      <c r="Q23" s="85"/>
      <c r="R23" s="85"/>
      <c r="S23" s="85"/>
      <c r="T23" s="85"/>
      <c r="U23" s="85"/>
      <c r="W23" t="s">
        <v>41</v>
      </c>
      <c r="X23" t="s">
        <v>36</v>
      </c>
      <c r="Y23">
        <v>2</v>
      </c>
      <c r="Z23">
        <f>D10</f>
        <v>16.170000000000002</v>
      </c>
    </row>
    <row r="24" spans="2:26" ht="15.75" x14ac:dyDescent="0.25">
      <c r="B24" s="19" t="s">
        <v>3</v>
      </c>
      <c r="C24" s="18">
        <f>C23/9</f>
        <v>16.22666666666667</v>
      </c>
      <c r="D24" s="18">
        <f>D23/9</f>
        <v>15.865555555555558</v>
      </c>
      <c r="E24" s="18">
        <f>E23/9</f>
        <v>16.165555555555557</v>
      </c>
      <c r="F24" s="1"/>
      <c r="G24" s="1"/>
      <c r="H24" s="1"/>
      <c r="I24" s="22"/>
      <c r="J24" s="22"/>
      <c r="K24" s="22"/>
      <c r="L24" s="1"/>
      <c r="M24" s="85"/>
      <c r="N24" s="85"/>
      <c r="O24" s="85"/>
      <c r="P24" s="85"/>
      <c r="Q24" s="85"/>
      <c r="R24" s="85"/>
      <c r="S24" s="85"/>
      <c r="T24" s="85"/>
      <c r="U24" s="85"/>
      <c r="W24" t="s">
        <v>41</v>
      </c>
      <c r="X24" t="s">
        <v>36</v>
      </c>
      <c r="Y24">
        <v>3</v>
      </c>
      <c r="Z24">
        <f>E10</f>
        <v>12.16</v>
      </c>
    </row>
    <row r="25" spans="2:26" ht="15.75" x14ac:dyDescent="0.25">
      <c r="B25" s="1"/>
      <c r="C25" s="1"/>
      <c r="D25" s="1"/>
      <c r="E25" s="1"/>
      <c r="F25" s="1"/>
      <c r="G25" s="1"/>
      <c r="H25" s="1"/>
      <c r="I25" s="50"/>
      <c r="J25" s="22"/>
      <c r="K25" s="23"/>
      <c r="L25" s="1"/>
      <c r="M25" s="85"/>
      <c r="N25" s="85"/>
      <c r="O25" s="85"/>
      <c r="P25" s="85"/>
      <c r="Q25" s="85"/>
      <c r="R25" s="85"/>
      <c r="S25" s="85"/>
      <c r="T25" s="85"/>
      <c r="U25" s="85"/>
      <c r="W25" t="s">
        <v>41</v>
      </c>
      <c r="X25" t="s">
        <v>37</v>
      </c>
      <c r="Y25">
        <v>1</v>
      </c>
      <c r="Z25">
        <f>C11</f>
        <v>16.41</v>
      </c>
    </row>
    <row r="26" spans="2:26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U26" s="21"/>
      <c r="W26" t="s">
        <v>41</v>
      </c>
      <c r="X26" t="s">
        <v>37</v>
      </c>
      <c r="Y26">
        <v>2</v>
      </c>
      <c r="Z26">
        <f>D11</f>
        <v>15.23</v>
      </c>
    </row>
    <row r="27" spans="2:26" ht="15.75" x14ac:dyDescent="0.25">
      <c r="B27" s="1" t="s">
        <v>0</v>
      </c>
      <c r="C27" s="1" t="s">
        <v>49</v>
      </c>
      <c r="D27" s="1"/>
      <c r="E27" s="90" t="s">
        <v>96</v>
      </c>
      <c r="F27" s="90"/>
      <c r="G27" s="1" t="s">
        <v>94</v>
      </c>
      <c r="H27" s="1" t="s">
        <v>95</v>
      </c>
      <c r="I27" s="90" t="s">
        <v>103</v>
      </c>
      <c r="J27" s="90"/>
      <c r="K27" s="1"/>
      <c r="L27" s="1"/>
      <c r="M27" s="1"/>
      <c r="N27" s="1"/>
      <c r="O27" s="1"/>
      <c r="P27" s="1"/>
      <c r="U27" s="21"/>
      <c r="W27" t="s">
        <v>41</v>
      </c>
      <c r="X27" t="s">
        <v>37</v>
      </c>
      <c r="Y27">
        <v>3</v>
      </c>
      <c r="Z27">
        <f>E11</f>
        <v>13.47</v>
      </c>
    </row>
    <row r="28" spans="2:26" ht="15.75" x14ac:dyDescent="0.25">
      <c r="B28" s="1" t="s">
        <v>39</v>
      </c>
      <c r="C28" s="6">
        <f>G20</f>
        <v>18.446666666666665</v>
      </c>
      <c r="D28" s="1"/>
      <c r="E28" s="1" t="s">
        <v>41</v>
      </c>
      <c r="F28" s="6">
        <f>C30</f>
        <v>14.502222222222221</v>
      </c>
      <c r="G28" s="6">
        <f>F28+J30</f>
        <v>16.884982199444625</v>
      </c>
      <c r="H28" s="1" t="s">
        <v>59</v>
      </c>
      <c r="I28" s="1" t="s">
        <v>111</v>
      </c>
      <c r="J28" s="1">
        <f>SQRT(L18/(J3*J5))</f>
        <v>0.65281095266367284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21"/>
      <c r="W28" t="s">
        <v>41</v>
      </c>
      <c r="X28" t="s">
        <v>38</v>
      </c>
      <c r="Y28">
        <v>1</v>
      </c>
      <c r="Z28">
        <f>C12</f>
        <v>11.28</v>
      </c>
    </row>
    <row r="29" spans="2:26" ht="15.75" x14ac:dyDescent="0.25">
      <c r="B29" s="1" t="s">
        <v>40</v>
      </c>
      <c r="C29" s="6">
        <f>G21</f>
        <v>15.308888888888889</v>
      </c>
      <c r="D29" s="1"/>
      <c r="E29" s="1" t="s">
        <v>40</v>
      </c>
      <c r="F29" s="6">
        <f>C29</f>
        <v>15.308888888888889</v>
      </c>
      <c r="G29" s="6">
        <f>F29+J30</f>
        <v>17.691648866111294</v>
      </c>
      <c r="H29" s="1" t="s">
        <v>59</v>
      </c>
      <c r="I29" s="1" t="s">
        <v>42</v>
      </c>
      <c r="J29" s="1">
        <v>3.65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21"/>
      <c r="W29" t="s">
        <v>41</v>
      </c>
      <c r="X29" t="s">
        <v>38</v>
      </c>
      <c r="Y29">
        <v>2</v>
      </c>
      <c r="Z29">
        <f>D12</f>
        <v>16.27</v>
      </c>
    </row>
    <row r="30" spans="2:26" ht="15.75" x14ac:dyDescent="0.25">
      <c r="B30" s="1" t="s">
        <v>41</v>
      </c>
      <c r="C30" s="41">
        <f>G22</f>
        <v>14.502222222222221</v>
      </c>
      <c r="E30" t="s">
        <v>39</v>
      </c>
      <c r="F30" s="41">
        <f>C28</f>
        <v>18.446666666666665</v>
      </c>
      <c r="G30" s="41">
        <f>F30+J30</f>
        <v>20.829426643889072</v>
      </c>
      <c r="H30" s="1" t="s">
        <v>61</v>
      </c>
      <c r="I30" t="s">
        <v>43</v>
      </c>
      <c r="J30" s="41">
        <f>J28*J29</f>
        <v>2.3827599772224057</v>
      </c>
      <c r="W30" t="s">
        <v>41</v>
      </c>
      <c r="X30" t="s">
        <v>38</v>
      </c>
      <c r="Y30">
        <v>3</v>
      </c>
      <c r="Z30">
        <f>E12</f>
        <v>15.08</v>
      </c>
    </row>
    <row r="31" spans="2:26" ht="15.75" customHeight="1" x14ac:dyDescent="0.25">
      <c r="B31" s="85" t="s">
        <v>124</v>
      </c>
      <c r="C31" s="85"/>
      <c r="D31" s="85"/>
      <c r="E31" s="85"/>
      <c r="F31" s="85"/>
      <c r="G31" s="85"/>
      <c r="H31" s="85"/>
      <c r="I31" s="85"/>
      <c r="J31" s="85"/>
    </row>
    <row r="32" spans="2:26" ht="15.75" customHeight="1" x14ac:dyDescent="0.25">
      <c r="B32" s="85"/>
      <c r="C32" s="85"/>
      <c r="D32" s="85"/>
      <c r="E32" s="85"/>
      <c r="F32" s="85"/>
      <c r="G32" s="85"/>
      <c r="H32" s="85"/>
      <c r="I32" s="85"/>
      <c r="J32" s="85"/>
    </row>
    <row r="34" spans="2:10" ht="15.75" x14ac:dyDescent="0.25">
      <c r="B34" s="1" t="s">
        <v>0</v>
      </c>
      <c r="C34" t="s">
        <v>49</v>
      </c>
      <c r="E34" s="78" t="s">
        <v>113</v>
      </c>
      <c r="F34" s="78"/>
      <c r="G34" t="s">
        <v>94</v>
      </c>
      <c r="H34" t="s">
        <v>95</v>
      </c>
      <c r="I34" s="78" t="s">
        <v>104</v>
      </c>
      <c r="J34" s="78"/>
    </row>
    <row r="35" spans="2:10" ht="15.75" x14ac:dyDescent="0.25">
      <c r="B35" s="1" t="s">
        <v>36</v>
      </c>
      <c r="C35" s="41">
        <f>C24</f>
        <v>16.22666666666667</v>
      </c>
      <c r="E35" t="s">
        <v>37</v>
      </c>
      <c r="F35" s="41">
        <f>C36</f>
        <v>15.865555555555558</v>
      </c>
      <c r="G35" s="41">
        <f>J37+F35</f>
        <v>18.248315532777962</v>
      </c>
      <c r="H35" s="1" t="s">
        <v>59</v>
      </c>
      <c r="I35" s="1" t="s">
        <v>111</v>
      </c>
      <c r="J35">
        <f>SQRT(L18/(J4*J5))</f>
        <v>0.65281095266367284</v>
      </c>
    </row>
    <row r="36" spans="2:10" ht="15.75" x14ac:dyDescent="0.25">
      <c r="B36" s="1" t="s">
        <v>37</v>
      </c>
      <c r="C36" s="41">
        <f>D24</f>
        <v>15.865555555555558</v>
      </c>
      <c r="E36" t="s">
        <v>38</v>
      </c>
      <c r="F36" s="41">
        <f>C37</f>
        <v>16.165555555555557</v>
      </c>
      <c r="H36" s="1" t="s">
        <v>59</v>
      </c>
      <c r="I36" s="1" t="s">
        <v>42</v>
      </c>
      <c r="J36">
        <v>3.65</v>
      </c>
    </row>
    <row r="37" spans="2:10" ht="15.75" x14ac:dyDescent="0.25">
      <c r="B37" s="1" t="s">
        <v>38</v>
      </c>
      <c r="C37" s="41">
        <f>E24</f>
        <v>16.165555555555557</v>
      </c>
      <c r="E37" t="s">
        <v>36</v>
      </c>
      <c r="F37" s="41">
        <f>C35</f>
        <v>16.22666666666667</v>
      </c>
      <c r="H37" s="1" t="s">
        <v>59</v>
      </c>
      <c r="I37" t="s">
        <v>43</v>
      </c>
      <c r="J37">
        <f>J36*J35</f>
        <v>2.3827599772224057</v>
      </c>
    </row>
    <row r="38" spans="2:10" x14ac:dyDescent="0.25">
      <c r="B38" s="87" t="s">
        <v>122</v>
      </c>
      <c r="C38" s="87"/>
      <c r="D38" s="87"/>
      <c r="E38" s="87"/>
      <c r="F38" s="87"/>
      <c r="G38" s="87"/>
      <c r="H38" s="87"/>
      <c r="I38" s="87"/>
      <c r="J38" s="87"/>
    </row>
    <row r="39" spans="2:10" x14ac:dyDescent="0.25">
      <c r="B39" s="87"/>
      <c r="C39" s="87"/>
      <c r="D39" s="87"/>
      <c r="E39" s="87"/>
      <c r="F39" s="87"/>
      <c r="G39" s="87"/>
      <c r="H39" s="87"/>
      <c r="I39" s="87"/>
      <c r="J39" s="87"/>
    </row>
    <row r="41" spans="2:10" ht="15.75" x14ac:dyDescent="0.25">
      <c r="B41" s="1" t="s">
        <v>0</v>
      </c>
      <c r="C41" t="s">
        <v>49</v>
      </c>
      <c r="E41" s="78" t="s">
        <v>96</v>
      </c>
      <c r="F41" s="78"/>
      <c r="G41" t="s">
        <v>94</v>
      </c>
      <c r="H41" s="1" t="s">
        <v>95</v>
      </c>
      <c r="I41" s="78" t="s">
        <v>106</v>
      </c>
      <c r="J41" s="78"/>
    </row>
    <row r="42" spans="2:10" ht="15.75" x14ac:dyDescent="0.25">
      <c r="B42" t="s">
        <v>8</v>
      </c>
      <c r="C42" s="41">
        <f t="shared" ref="C42:C50" si="4">G4</f>
        <v>18.693333333333332</v>
      </c>
      <c r="E42" t="s">
        <v>26</v>
      </c>
      <c r="F42" s="41">
        <f>C50</f>
        <v>14.209999999999999</v>
      </c>
      <c r="G42" s="41">
        <f>F42+J44</f>
        <v>19.365999924144205</v>
      </c>
      <c r="H42" s="1" t="s">
        <v>59</v>
      </c>
      <c r="I42" s="1" t="s">
        <v>111</v>
      </c>
      <c r="J42">
        <f>SQRT(L18/J5)</f>
        <v>1.1307017377509225</v>
      </c>
    </row>
    <row r="43" spans="2:10" ht="15.75" x14ac:dyDescent="0.25">
      <c r="B43" t="s">
        <v>10</v>
      </c>
      <c r="C43" s="41">
        <f t="shared" si="4"/>
        <v>17.37</v>
      </c>
      <c r="E43" t="s">
        <v>17</v>
      </c>
      <c r="F43" s="41">
        <f>C48</f>
        <v>14.26</v>
      </c>
      <c r="H43" s="1" t="s">
        <v>59</v>
      </c>
      <c r="I43" s="1" t="s">
        <v>42</v>
      </c>
      <c r="J43">
        <v>4.5599999999999996</v>
      </c>
    </row>
    <row r="44" spans="2:10" ht="15.75" x14ac:dyDescent="0.25">
      <c r="B44" t="s">
        <v>12</v>
      </c>
      <c r="C44" s="41">
        <f t="shared" si="4"/>
        <v>19.276666666666667</v>
      </c>
      <c r="E44" t="s">
        <v>16</v>
      </c>
      <c r="F44" s="41">
        <f>C47</f>
        <v>15.01</v>
      </c>
      <c r="H44" s="1" t="s">
        <v>59</v>
      </c>
      <c r="I44" t="s">
        <v>43</v>
      </c>
      <c r="J44">
        <f>J43*J42</f>
        <v>5.155999924144206</v>
      </c>
    </row>
    <row r="45" spans="2:10" ht="15.75" x14ac:dyDescent="0.25">
      <c r="B45" t="s">
        <v>13</v>
      </c>
      <c r="C45" s="41">
        <f t="shared" si="4"/>
        <v>15.726666666666668</v>
      </c>
      <c r="E45" t="s">
        <v>18</v>
      </c>
      <c r="F45" s="41">
        <f>C49</f>
        <v>15.036666666666667</v>
      </c>
      <c r="H45" s="1" t="s">
        <v>59</v>
      </c>
    </row>
    <row r="46" spans="2:10" ht="15.75" x14ac:dyDescent="0.25">
      <c r="B46" t="s">
        <v>15</v>
      </c>
      <c r="C46" s="41">
        <f t="shared" si="4"/>
        <v>15.19</v>
      </c>
      <c r="E46" t="s">
        <v>15</v>
      </c>
      <c r="F46" s="41">
        <f>C46</f>
        <v>15.19</v>
      </c>
      <c r="H46" s="1" t="s">
        <v>59</v>
      </c>
    </row>
    <row r="47" spans="2:10" ht="15.75" x14ac:dyDescent="0.25">
      <c r="B47" t="s">
        <v>16</v>
      </c>
      <c r="C47" s="41">
        <f t="shared" si="4"/>
        <v>15.01</v>
      </c>
      <c r="E47" t="s">
        <v>13</v>
      </c>
      <c r="F47" s="41">
        <f>C45</f>
        <v>15.726666666666668</v>
      </c>
      <c r="H47" s="1" t="s">
        <v>59</v>
      </c>
    </row>
    <row r="48" spans="2:10" ht="15.75" x14ac:dyDescent="0.25">
      <c r="B48" t="s">
        <v>17</v>
      </c>
      <c r="C48" s="41">
        <f t="shared" si="4"/>
        <v>14.26</v>
      </c>
      <c r="E48" t="s">
        <v>10</v>
      </c>
      <c r="F48" s="41">
        <f>C43</f>
        <v>17.37</v>
      </c>
      <c r="H48" s="1" t="s">
        <v>59</v>
      </c>
    </row>
    <row r="49" spans="2:8" x14ac:dyDescent="0.25">
      <c r="B49" t="s">
        <v>18</v>
      </c>
      <c r="C49" s="41">
        <f t="shared" si="4"/>
        <v>15.036666666666667</v>
      </c>
      <c r="E49" t="s">
        <v>8</v>
      </c>
      <c r="F49" s="41">
        <f>C42</f>
        <v>18.693333333333332</v>
      </c>
      <c r="H49" t="s">
        <v>59</v>
      </c>
    </row>
    <row r="50" spans="2:8" ht="15.75" x14ac:dyDescent="0.25">
      <c r="B50" t="s">
        <v>26</v>
      </c>
      <c r="C50" s="41">
        <f t="shared" si="4"/>
        <v>14.209999999999999</v>
      </c>
      <c r="E50" t="s">
        <v>12</v>
      </c>
      <c r="F50" s="41">
        <f>C44</f>
        <v>19.276666666666667</v>
      </c>
      <c r="H50" s="1" t="s">
        <v>59</v>
      </c>
    </row>
  </sheetData>
  <mergeCells count="24">
    <mergeCell ref="K11:K12"/>
    <mergeCell ref="I11:I12"/>
    <mergeCell ref="J11:J12"/>
    <mergeCell ref="M21:U25"/>
    <mergeCell ref="B38:J39"/>
    <mergeCell ref="B31:J32"/>
    <mergeCell ref="M11:M12"/>
    <mergeCell ref="N11:O11"/>
    <mergeCell ref="P11:P12"/>
    <mergeCell ref="B18:B19"/>
    <mergeCell ref="C18:E18"/>
    <mergeCell ref="F18:F19"/>
    <mergeCell ref="G18:G19"/>
    <mergeCell ref="L11:L12"/>
    <mergeCell ref="E27:F27"/>
    <mergeCell ref="I27:J27"/>
    <mergeCell ref="E41:F41"/>
    <mergeCell ref="I41:J41"/>
    <mergeCell ref="B2:B3"/>
    <mergeCell ref="C2:E2"/>
    <mergeCell ref="F2:F3"/>
    <mergeCell ref="G2:G3"/>
    <mergeCell ref="E34:F34"/>
    <mergeCell ref="I34:J3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U51"/>
  <sheetViews>
    <sheetView topLeftCell="A17" zoomScale="80" zoomScaleNormal="80" workbookViewId="0">
      <selection activeCell="L34" sqref="L34"/>
    </sheetView>
  </sheetViews>
  <sheetFormatPr defaultColWidth="9.140625" defaultRowHeight="15.75" x14ac:dyDescent="0.25"/>
  <cols>
    <col min="1" max="1" width="9.140625" style="21"/>
    <col min="2" max="2" width="11" style="21" customWidth="1"/>
    <col min="3" max="6" width="9.140625" style="21"/>
    <col min="7" max="7" width="15" style="21" customWidth="1"/>
    <col min="8" max="8" width="9.140625" style="21"/>
    <col min="9" max="9" width="13.85546875" style="21" customWidth="1"/>
    <col min="10" max="10" width="15.28515625" style="21" customWidth="1"/>
    <col min="11" max="11" width="13.5703125" style="21" customWidth="1"/>
    <col min="12" max="12" width="23.5703125" style="21" customWidth="1"/>
    <col min="13" max="16384" width="9.140625" style="21"/>
  </cols>
  <sheetData>
    <row r="2" spans="2:21" x14ac:dyDescent="0.25">
      <c r="B2" s="77" t="s">
        <v>0</v>
      </c>
      <c r="C2" s="77" t="s">
        <v>47</v>
      </c>
      <c r="D2" s="77"/>
      <c r="E2" s="77"/>
      <c r="F2" s="77" t="s">
        <v>48</v>
      </c>
      <c r="G2" s="77" t="s">
        <v>49</v>
      </c>
    </row>
    <row r="3" spans="2:21" x14ac:dyDescent="0.25">
      <c r="B3" s="77"/>
      <c r="C3" s="2">
        <v>1</v>
      </c>
      <c r="D3" s="2">
        <v>2</v>
      </c>
      <c r="E3" s="2">
        <v>3</v>
      </c>
      <c r="F3" s="77"/>
      <c r="G3" s="77"/>
      <c r="I3" s="25" t="s">
        <v>7</v>
      </c>
      <c r="J3" s="21">
        <v>3</v>
      </c>
      <c r="R3" s="21" t="s">
        <v>51</v>
      </c>
      <c r="S3" s="21" t="s">
        <v>52</v>
      </c>
      <c r="T3" s="21" t="s">
        <v>53</v>
      </c>
      <c r="U3" s="21" t="s">
        <v>54</v>
      </c>
    </row>
    <row r="4" spans="2:21" x14ac:dyDescent="0.25">
      <c r="B4" s="4" t="s">
        <v>79</v>
      </c>
      <c r="C4" s="4">
        <v>219.13</v>
      </c>
      <c r="D4" s="4">
        <v>264.14999999999998</v>
      </c>
      <c r="E4" s="4">
        <v>254.8</v>
      </c>
      <c r="F4" s="4">
        <f>SUM(C4:E4)</f>
        <v>738.07999999999993</v>
      </c>
      <c r="G4" s="26">
        <f t="shared" ref="G4:G12" si="0">AVERAGE(C4:E4)</f>
        <v>246.02666666666664</v>
      </c>
      <c r="H4" s="27">
        <f>STDEV(C4:E4)</f>
        <v>23.757706819752894</v>
      </c>
      <c r="I4" s="25" t="s">
        <v>9</v>
      </c>
      <c r="J4" s="21">
        <v>3</v>
      </c>
      <c r="R4" s="21" t="s">
        <v>39</v>
      </c>
      <c r="S4" s="21" t="s">
        <v>36</v>
      </c>
      <c r="T4" s="21">
        <v>1</v>
      </c>
      <c r="U4" s="21">
        <f>C4</f>
        <v>219.13</v>
      </c>
    </row>
    <row r="5" spans="2:21" x14ac:dyDescent="0.25">
      <c r="B5" s="4" t="s">
        <v>80</v>
      </c>
      <c r="C5" s="4">
        <v>285.98</v>
      </c>
      <c r="D5" s="4">
        <v>193.53</v>
      </c>
      <c r="E5" s="4">
        <v>186.57</v>
      </c>
      <c r="F5" s="4">
        <f t="shared" ref="F5:F12" si="1">SUM(C5:E5)</f>
        <v>666.07999999999993</v>
      </c>
      <c r="G5" s="26">
        <f t="shared" si="0"/>
        <v>222.02666666666664</v>
      </c>
      <c r="H5" s="27">
        <f t="shared" ref="H5:H12" si="2">STDEV(C5:E5)</f>
        <v>55.494432453475653</v>
      </c>
      <c r="I5" s="25" t="s">
        <v>11</v>
      </c>
      <c r="J5" s="21">
        <v>3</v>
      </c>
      <c r="R5" s="21" t="s">
        <v>39</v>
      </c>
      <c r="S5" s="21" t="s">
        <v>36</v>
      </c>
      <c r="T5" s="21">
        <v>2</v>
      </c>
      <c r="U5" s="21">
        <f>D4</f>
        <v>264.14999999999998</v>
      </c>
    </row>
    <row r="6" spans="2:21" x14ac:dyDescent="0.25">
      <c r="B6" s="4" t="s">
        <v>87</v>
      </c>
      <c r="C6" s="4">
        <v>188.8</v>
      </c>
      <c r="D6" s="4">
        <v>197.44</v>
      </c>
      <c r="E6" s="4">
        <v>208.75</v>
      </c>
      <c r="F6" s="4">
        <f t="shared" si="1"/>
        <v>594.99</v>
      </c>
      <c r="G6" s="26">
        <f t="shared" si="0"/>
        <v>198.33</v>
      </c>
      <c r="H6" s="27">
        <f t="shared" si="2"/>
        <v>10.004733879519231</v>
      </c>
      <c r="I6" s="25"/>
      <c r="R6" s="21" t="s">
        <v>39</v>
      </c>
      <c r="S6" s="21" t="s">
        <v>36</v>
      </c>
      <c r="T6" s="21">
        <v>3</v>
      </c>
      <c r="U6" s="21">
        <f>E4</f>
        <v>254.8</v>
      </c>
    </row>
    <row r="7" spans="2:21" x14ac:dyDescent="0.25">
      <c r="B7" s="4" t="s">
        <v>81</v>
      </c>
      <c r="C7" s="4">
        <v>127.43</v>
      </c>
      <c r="D7" s="4">
        <v>273.75</v>
      </c>
      <c r="E7" s="4">
        <v>234.02</v>
      </c>
      <c r="F7" s="4">
        <f t="shared" si="1"/>
        <v>635.20000000000005</v>
      </c>
      <c r="G7" s="26">
        <f t="shared" si="0"/>
        <v>211.73333333333335</v>
      </c>
      <c r="H7" s="27">
        <f t="shared" si="2"/>
        <v>75.663116730236084</v>
      </c>
      <c r="I7" s="25" t="s">
        <v>14</v>
      </c>
      <c r="J7" s="37">
        <f>(F13^2)/(J3*J4*J5)</f>
        <v>1410914.6284481483</v>
      </c>
      <c r="R7" s="21" t="s">
        <v>39</v>
      </c>
      <c r="S7" s="21" t="s">
        <v>37</v>
      </c>
      <c r="T7" s="21">
        <v>1</v>
      </c>
      <c r="U7" s="21">
        <f>C5</f>
        <v>285.98</v>
      </c>
    </row>
    <row r="8" spans="2:21" x14ac:dyDescent="0.25">
      <c r="B8" s="4" t="s">
        <v>82</v>
      </c>
      <c r="C8" s="4">
        <v>318.27</v>
      </c>
      <c r="D8" s="4">
        <v>305.56</v>
      </c>
      <c r="E8" s="4">
        <v>325.25</v>
      </c>
      <c r="F8" s="4">
        <f t="shared" si="1"/>
        <v>949.07999999999993</v>
      </c>
      <c r="G8" s="26">
        <f t="shared" si="0"/>
        <v>316.35999999999996</v>
      </c>
      <c r="H8" s="27">
        <f t="shared" si="2"/>
        <v>9.9829905339031519</v>
      </c>
      <c r="R8" s="21" t="s">
        <v>39</v>
      </c>
      <c r="S8" s="21" t="s">
        <v>37</v>
      </c>
      <c r="T8" s="21">
        <v>2</v>
      </c>
      <c r="U8" s="21">
        <f>D5</f>
        <v>193.53</v>
      </c>
    </row>
    <row r="9" spans="2:21" x14ac:dyDescent="0.25">
      <c r="B9" s="4" t="s">
        <v>83</v>
      </c>
      <c r="C9" s="4">
        <v>183.83</v>
      </c>
      <c r="D9" s="4">
        <v>170.76</v>
      </c>
      <c r="E9" s="4">
        <v>157.33000000000001</v>
      </c>
      <c r="F9" s="4">
        <f t="shared" si="1"/>
        <v>511.92000000000007</v>
      </c>
      <c r="G9" s="26">
        <f t="shared" si="0"/>
        <v>170.64000000000001</v>
      </c>
      <c r="H9" s="27">
        <f t="shared" si="2"/>
        <v>13.25040754090228</v>
      </c>
      <c r="R9" s="21" t="s">
        <v>39</v>
      </c>
      <c r="S9" s="21" t="s">
        <v>37</v>
      </c>
      <c r="T9" s="21">
        <v>3</v>
      </c>
      <c r="U9" s="21">
        <f>E5</f>
        <v>186.57</v>
      </c>
    </row>
    <row r="10" spans="2:21" x14ac:dyDescent="0.25">
      <c r="B10" s="4" t="s">
        <v>84</v>
      </c>
      <c r="C10" s="20">
        <v>123.8</v>
      </c>
      <c r="D10" s="4">
        <v>177.97</v>
      </c>
      <c r="E10" s="4">
        <v>283.8</v>
      </c>
      <c r="F10" s="4">
        <f t="shared" si="1"/>
        <v>585.56999999999994</v>
      </c>
      <c r="G10" s="26">
        <f t="shared" si="0"/>
        <v>195.18999999999997</v>
      </c>
      <c r="H10" s="27">
        <f t="shared" si="2"/>
        <v>81.37810700673748</v>
      </c>
      <c r="R10" s="21" t="s">
        <v>39</v>
      </c>
      <c r="S10" s="21" t="s">
        <v>38</v>
      </c>
      <c r="T10" s="21">
        <v>1</v>
      </c>
      <c r="U10" s="21">
        <f>C6</f>
        <v>188.8</v>
      </c>
    </row>
    <row r="11" spans="2:21" x14ac:dyDescent="0.25">
      <c r="B11" s="4" t="s">
        <v>85</v>
      </c>
      <c r="C11" s="4">
        <v>369.29</v>
      </c>
      <c r="D11" s="4">
        <v>361.71</v>
      </c>
      <c r="E11" s="4">
        <v>322.94</v>
      </c>
      <c r="F11" s="4">
        <f t="shared" si="1"/>
        <v>1053.94</v>
      </c>
      <c r="G11" s="26">
        <f t="shared" si="0"/>
        <v>351.31333333333333</v>
      </c>
      <c r="H11" s="27">
        <f t="shared" si="2"/>
        <v>24.862595064339796</v>
      </c>
      <c r="I11" s="75" t="s">
        <v>19</v>
      </c>
      <c r="J11" s="75" t="s">
        <v>20</v>
      </c>
      <c r="K11" s="75" t="s">
        <v>21</v>
      </c>
      <c r="L11" s="75" t="s">
        <v>22</v>
      </c>
      <c r="M11" s="75" t="s">
        <v>23</v>
      </c>
      <c r="N11" s="75" t="s">
        <v>24</v>
      </c>
      <c r="O11" s="75"/>
      <c r="P11" s="75" t="s">
        <v>25</v>
      </c>
      <c r="R11" s="21" t="s">
        <v>39</v>
      </c>
      <c r="S11" s="21" t="s">
        <v>38</v>
      </c>
      <c r="T11" s="21">
        <v>2</v>
      </c>
      <c r="U11" s="21">
        <f>D6</f>
        <v>197.44</v>
      </c>
    </row>
    <row r="12" spans="2:21" x14ac:dyDescent="0.25">
      <c r="B12" s="4" t="s">
        <v>86</v>
      </c>
      <c r="C12" s="4">
        <v>136.99</v>
      </c>
      <c r="D12" s="4">
        <v>143.37</v>
      </c>
      <c r="E12" s="4">
        <v>156.87</v>
      </c>
      <c r="F12" s="4">
        <f t="shared" si="1"/>
        <v>437.23</v>
      </c>
      <c r="G12" s="26">
        <f t="shared" si="0"/>
        <v>145.74333333333334</v>
      </c>
      <c r="H12" s="27">
        <f t="shared" si="2"/>
        <v>10.150277500311669</v>
      </c>
      <c r="I12" s="76"/>
      <c r="J12" s="76"/>
      <c r="K12" s="76"/>
      <c r="L12" s="76"/>
      <c r="M12" s="76"/>
      <c r="N12" s="9">
        <v>0.05</v>
      </c>
      <c r="O12" s="9">
        <v>0.01</v>
      </c>
      <c r="P12" s="76"/>
      <c r="R12" s="21" t="s">
        <v>39</v>
      </c>
      <c r="S12" s="21" t="s">
        <v>38</v>
      </c>
      <c r="T12" s="21">
        <v>3</v>
      </c>
      <c r="U12" s="21">
        <f>E6</f>
        <v>208.75</v>
      </c>
    </row>
    <row r="13" spans="2:21" x14ac:dyDescent="0.25">
      <c r="B13" s="2" t="s">
        <v>2</v>
      </c>
      <c r="C13" s="29">
        <f>SUM(C4:C12)</f>
        <v>1953.52</v>
      </c>
      <c r="D13" s="29">
        <f>SUM(D4:D12)</f>
        <v>2088.2399999999998</v>
      </c>
      <c r="E13" s="29">
        <f>SUM(E4:E12)</f>
        <v>2130.33</v>
      </c>
      <c r="F13" s="36">
        <f>SUM(C13:E13)</f>
        <v>6172.09</v>
      </c>
      <c r="G13" s="29"/>
      <c r="I13" s="1" t="s">
        <v>27</v>
      </c>
      <c r="J13" s="1">
        <f>(J5-1)</f>
        <v>2</v>
      </c>
      <c r="K13" s="13">
        <f>SUMSQ(C13:E13)/(J3*J4)-J7</f>
        <v>1895.6600962961093</v>
      </c>
      <c r="L13" s="13">
        <f t="shared" ref="L13:L18" si="3">K13/J13</f>
        <v>947.83004814805463</v>
      </c>
      <c r="M13" s="13">
        <f>L13/L18</f>
        <v>0.46980310124927627</v>
      </c>
      <c r="N13" s="13">
        <f>FINV(N12,J13,J18)</f>
        <v>3.6337234675916301</v>
      </c>
      <c r="O13" s="13">
        <f>FINV(O12,J13,J18)</f>
        <v>6.2262352803113821</v>
      </c>
      <c r="P13" s="1" t="str">
        <f>IF(M13&lt;N13,"tn",IF(M13&lt;O13,"*","**"))</f>
        <v>tn</v>
      </c>
      <c r="R13" s="21" t="s">
        <v>40</v>
      </c>
      <c r="S13" s="21" t="s">
        <v>36</v>
      </c>
      <c r="T13" s="21">
        <v>1</v>
      </c>
      <c r="U13" s="21">
        <f>C7</f>
        <v>127.43</v>
      </c>
    </row>
    <row r="14" spans="2:21" x14ac:dyDescent="0.25">
      <c r="B14" s="2" t="s">
        <v>49</v>
      </c>
      <c r="C14" s="29">
        <f>AVERAGE(C4:C12)</f>
        <v>217.05777777777777</v>
      </c>
      <c r="D14" s="29">
        <f>AVERAGE(D4:D12)</f>
        <v>232.02666666666664</v>
      </c>
      <c r="E14" s="29">
        <f>AVERAGE(E4:E12)</f>
        <v>236.70333333333332</v>
      </c>
      <c r="F14" s="29"/>
      <c r="G14" s="29"/>
      <c r="I14" s="1" t="s">
        <v>0</v>
      </c>
      <c r="J14" s="1">
        <f>(J3*J4-1)</f>
        <v>8</v>
      </c>
      <c r="K14" s="13">
        <f>SUMSQ(F4:F12)/J5-J7</f>
        <v>106946.55391851813</v>
      </c>
      <c r="L14" s="13">
        <f t="shared" si="3"/>
        <v>13368.319239814766</v>
      </c>
      <c r="M14" s="13">
        <f>L14/L18</f>
        <v>6.6261645213998426</v>
      </c>
      <c r="N14" s="13">
        <f>FINV(N12,J14,J18)</f>
        <v>2.5910961798744014</v>
      </c>
      <c r="O14" s="13">
        <f>FINV(O12,J14,J18)</f>
        <v>3.8895721399261927</v>
      </c>
      <c r="P14" s="1" t="str">
        <f>IF(M14&lt;N14,"tn",IF(M14&lt;O14,"*","**"))</f>
        <v>**</v>
      </c>
      <c r="R14" s="21" t="s">
        <v>40</v>
      </c>
      <c r="S14" s="21" t="s">
        <v>36</v>
      </c>
      <c r="T14" s="21">
        <v>2</v>
      </c>
      <c r="U14" s="21">
        <f>D7</f>
        <v>273.75</v>
      </c>
    </row>
    <row r="15" spans="2:21" x14ac:dyDescent="0.25">
      <c r="I15" s="24" t="s">
        <v>7</v>
      </c>
      <c r="J15" s="1">
        <f>(J3-1)</f>
        <v>2</v>
      </c>
      <c r="K15" s="13">
        <f>SUMSQ(F20:F22)/(J3*J5)-J7</f>
        <v>585.83711851830594</v>
      </c>
      <c r="L15" s="13">
        <f t="shared" si="3"/>
        <v>292.91855925915297</v>
      </c>
      <c r="M15" s="13">
        <f>L15/L18</f>
        <v>0.14518852596232962</v>
      </c>
      <c r="N15" s="13">
        <f>FINV(N12,J15,J18)</f>
        <v>3.6337234675916301</v>
      </c>
      <c r="O15" s="13">
        <f>FINV(O12,J15,J18)</f>
        <v>6.2262352803113821</v>
      </c>
      <c r="P15" s="1" t="str">
        <f>IF(M15&lt;N15,"tn",IF(M15&lt;O15,"*","**"))</f>
        <v>tn</v>
      </c>
      <c r="R15" s="21" t="s">
        <v>40</v>
      </c>
      <c r="S15" s="21" t="s">
        <v>36</v>
      </c>
      <c r="T15" s="21">
        <v>3</v>
      </c>
      <c r="U15" s="21">
        <f>E7</f>
        <v>234.02</v>
      </c>
    </row>
    <row r="16" spans="2:21" x14ac:dyDescent="0.25">
      <c r="I16" s="24" t="s">
        <v>9</v>
      </c>
      <c r="J16" s="1">
        <f>(J4-1)</f>
        <v>2</v>
      </c>
      <c r="K16" s="13">
        <f>SUMSQ(C23:E23)/(J4*J5)-J7</f>
        <v>71924.979562962893</v>
      </c>
      <c r="L16" s="13">
        <f t="shared" si="3"/>
        <v>35962.489781481447</v>
      </c>
      <c r="M16" s="13">
        <f>L16/L18</f>
        <v>17.825230652896838</v>
      </c>
      <c r="N16" s="13">
        <f>FINV(N12,J16,J18)</f>
        <v>3.6337234675916301</v>
      </c>
      <c r="O16" s="13">
        <f>FINV(O12,J16,J18)</f>
        <v>6.2262352803113821</v>
      </c>
      <c r="P16" s="1" t="str">
        <f>IF(M16&lt;N16,"tn",IF(M16&lt;O16,"*","**"))</f>
        <v>**</v>
      </c>
      <c r="R16" s="21" t="s">
        <v>40</v>
      </c>
      <c r="S16" s="21" t="s">
        <v>37</v>
      </c>
      <c r="T16" s="21">
        <v>1</v>
      </c>
      <c r="U16" s="21">
        <f>C8</f>
        <v>318.27</v>
      </c>
    </row>
    <row r="17" spans="2:21" x14ac:dyDescent="0.25">
      <c r="B17" s="90" t="s">
        <v>34</v>
      </c>
      <c r="C17" s="90"/>
      <c r="D17" s="90"/>
      <c r="E17" s="90"/>
      <c r="I17" s="24" t="s">
        <v>44</v>
      </c>
      <c r="J17" s="1">
        <f>(J3-1)*(J4-1)</f>
        <v>4</v>
      </c>
      <c r="K17" s="13">
        <f>K14-K15-K16</f>
        <v>34435.737237036927</v>
      </c>
      <c r="L17" s="13">
        <f t="shared" si="3"/>
        <v>8608.9343092592317</v>
      </c>
      <c r="M17" s="13">
        <f>L17/L18</f>
        <v>4.2671194533701007</v>
      </c>
      <c r="N17" s="13">
        <f>FINV(N12,J17,J18)</f>
        <v>3.0069172799243447</v>
      </c>
      <c r="O17" s="13">
        <f>FINV(O12,J17,J18)</f>
        <v>4.772577999723211</v>
      </c>
      <c r="P17" s="1" t="str">
        <f>IF(M17&lt;N17,"tn",IF(M17&lt;O17,"*","**"))</f>
        <v>*</v>
      </c>
      <c r="R17" s="21" t="s">
        <v>40</v>
      </c>
      <c r="S17" s="21" t="s">
        <v>37</v>
      </c>
      <c r="T17" s="21">
        <v>2</v>
      </c>
      <c r="U17" s="21">
        <f>D8</f>
        <v>305.56</v>
      </c>
    </row>
    <row r="18" spans="2:21" x14ac:dyDescent="0.25">
      <c r="B18" s="98" t="s">
        <v>7</v>
      </c>
      <c r="C18" s="98" t="s">
        <v>9</v>
      </c>
      <c r="D18" s="98"/>
      <c r="E18" s="98"/>
      <c r="F18" s="24"/>
      <c r="G18" s="24"/>
      <c r="I18" s="1" t="s">
        <v>35</v>
      </c>
      <c r="J18" s="1">
        <f>(J3*J4-1)*(J5-1)</f>
        <v>16</v>
      </c>
      <c r="K18" s="13">
        <f>K19-K13-K14</f>
        <v>32280.078037037514</v>
      </c>
      <c r="L18" s="13">
        <f t="shared" si="3"/>
        <v>2017.5048773148446</v>
      </c>
      <c r="M18" s="14"/>
      <c r="N18" s="14"/>
      <c r="O18" s="14"/>
      <c r="P18" s="14"/>
      <c r="R18" s="21" t="s">
        <v>40</v>
      </c>
      <c r="S18" s="21" t="s">
        <v>37</v>
      </c>
      <c r="T18" s="21">
        <v>3</v>
      </c>
      <c r="U18" s="21">
        <f>E8</f>
        <v>325.25</v>
      </c>
    </row>
    <row r="19" spans="2:21" x14ac:dyDescent="0.25">
      <c r="B19" s="98"/>
      <c r="C19" s="24" t="s">
        <v>36</v>
      </c>
      <c r="D19" s="24" t="s">
        <v>37</v>
      </c>
      <c r="E19" s="24" t="s">
        <v>38</v>
      </c>
      <c r="F19" s="24" t="s">
        <v>2</v>
      </c>
      <c r="G19" s="24" t="s">
        <v>50</v>
      </c>
      <c r="I19" s="15" t="s">
        <v>2</v>
      </c>
      <c r="J19" s="15">
        <f>(J3*J4*J5-1)</f>
        <v>26</v>
      </c>
      <c r="K19" s="38">
        <f>SUMSQ(C4:E12)-J7</f>
        <v>141122.29205185175</v>
      </c>
      <c r="L19" s="17"/>
      <c r="M19" s="17"/>
      <c r="N19" s="17"/>
      <c r="O19" s="17"/>
      <c r="P19" s="17"/>
      <c r="R19" s="21" t="s">
        <v>40</v>
      </c>
      <c r="S19" s="21" t="s">
        <v>38</v>
      </c>
      <c r="T19" s="21">
        <v>1</v>
      </c>
      <c r="U19" s="21">
        <f>C9</f>
        <v>183.83</v>
      </c>
    </row>
    <row r="20" spans="2:21" x14ac:dyDescent="0.25">
      <c r="B20" s="29" t="s">
        <v>39</v>
      </c>
      <c r="C20" s="29">
        <f>F4</f>
        <v>738.07999999999993</v>
      </c>
      <c r="D20" s="29">
        <f>F5</f>
        <v>666.07999999999993</v>
      </c>
      <c r="E20" s="29">
        <f>F6</f>
        <v>594.99</v>
      </c>
      <c r="F20" s="29">
        <f>SUM(C20:E20)</f>
        <v>1999.1499999999999</v>
      </c>
      <c r="G20" s="29">
        <f>F20/9</f>
        <v>222.12777777777777</v>
      </c>
      <c r="R20" s="21" t="s">
        <v>40</v>
      </c>
      <c r="S20" s="21" t="s">
        <v>38</v>
      </c>
      <c r="T20" s="21">
        <v>2</v>
      </c>
      <c r="U20" s="21">
        <f>D9</f>
        <v>170.76</v>
      </c>
    </row>
    <row r="21" spans="2:21" ht="15.75" customHeight="1" x14ac:dyDescent="0.25">
      <c r="B21" s="29" t="s">
        <v>40</v>
      </c>
      <c r="C21" s="29">
        <f>F7</f>
        <v>635.20000000000005</v>
      </c>
      <c r="D21" s="29">
        <f>F8</f>
        <v>949.07999999999993</v>
      </c>
      <c r="E21" s="29">
        <f>F9</f>
        <v>511.92000000000007</v>
      </c>
      <c r="F21" s="29">
        <f>SUM(C21:E21)</f>
        <v>2096.1999999999998</v>
      </c>
      <c r="G21" s="29">
        <f>F21/9</f>
        <v>232.9111111111111</v>
      </c>
      <c r="L21" s="85" t="s">
        <v>148</v>
      </c>
      <c r="M21" s="85"/>
      <c r="N21" s="85"/>
      <c r="O21" s="85"/>
      <c r="P21" s="85"/>
      <c r="Q21" s="85"/>
      <c r="R21" s="63" t="s">
        <v>40</v>
      </c>
      <c r="S21" s="63" t="s">
        <v>38</v>
      </c>
      <c r="T21" s="63">
        <v>3</v>
      </c>
      <c r="U21" s="21">
        <f>E9</f>
        <v>157.33000000000001</v>
      </c>
    </row>
    <row r="22" spans="2:21" x14ac:dyDescent="0.25">
      <c r="B22" s="29" t="s">
        <v>41</v>
      </c>
      <c r="C22" s="29">
        <f>F10</f>
        <v>585.56999999999994</v>
      </c>
      <c r="D22" s="29">
        <f>F11</f>
        <v>1053.94</v>
      </c>
      <c r="E22" s="29">
        <f>F12</f>
        <v>437.23</v>
      </c>
      <c r="F22" s="29">
        <f>SUM(C22:E22)</f>
        <v>2076.7399999999998</v>
      </c>
      <c r="G22" s="29">
        <f>F22/9</f>
        <v>230.74888888888887</v>
      </c>
      <c r="I22" s="21" t="s">
        <v>108</v>
      </c>
      <c r="L22" s="85"/>
      <c r="M22" s="85"/>
      <c r="N22" s="85"/>
      <c r="O22" s="85"/>
      <c r="P22" s="85"/>
      <c r="Q22" s="85"/>
      <c r="R22" s="63" t="s">
        <v>41</v>
      </c>
      <c r="S22" s="63" t="s">
        <v>36</v>
      </c>
      <c r="T22" s="63">
        <v>1</v>
      </c>
      <c r="U22" s="27">
        <f>C10</f>
        <v>123.8</v>
      </c>
    </row>
    <row r="23" spans="2:21" x14ac:dyDescent="0.25">
      <c r="B23" s="24" t="s">
        <v>2</v>
      </c>
      <c r="C23" s="29">
        <f>SUM(C20:C22)</f>
        <v>1958.85</v>
      </c>
      <c r="D23" s="29">
        <f>SUM(D20:D22)</f>
        <v>2669.1</v>
      </c>
      <c r="E23" s="29">
        <f>SUM(E20:E22)</f>
        <v>1544.14</v>
      </c>
      <c r="F23" s="39">
        <f>SUM(C23:E23)</f>
        <v>6172.09</v>
      </c>
      <c r="L23" s="85"/>
      <c r="M23" s="85"/>
      <c r="N23" s="85"/>
      <c r="O23" s="85"/>
      <c r="P23" s="85"/>
      <c r="Q23" s="85"/>
      <c r="R23" s="63" t="s">
        <v>41</v>
      </c>
      <c r="S23" s="63" t="s">
        <v>36</v>
      </c>
      <c r="T23" s="63">
        <v>2</v>
      </c>
      <c r="U23" s="21">
        <f>D10</f>
        <v>177.97</v>
      </c>
    </row>
    <row r="24" spans="2:21" x14ac:dyDescent="0.25">
      <c r="B24" s="24" t="s">
        <v>50</v>
      </c>
      <c r="C24" s="29">
        <f>C23/9</f>
        <v>217.64999999999998</v>
      </c>
      <c r="D24" s="29">
        <f>D23/9</f>
        <v>296.56666666666666</v>
      </c>
      <c r="E24" s="29">
        <f>E23/9</f>
        <v>171.57111111111112</v>
      </c>
      <c r="F24" s="29"/>
      <c r="I24" s="22"/>
      <c r="J24" s="22"/>
      <c r="K24" s="22"/>
      <c r="L24" s="85"/>
      <c r="M24" s="85"/>
      <c r="N24" s="85"/>
      <c r="O24" s="85"/>
      <c r="P24" s="85"/>
      <c r="Q24" s="85"/>
      <c r="R24" s="63" t="s">
        <v>41</v>
      </c>
      <c r="S24" s="63" t="s">
        <v>36</v>
      </c>
      <c r="T24" s="63">
        <v>3</v>
      </c>
      <c r="U24" s="21">
        <f>E10</f>
        <v>283.8</v>
      </c>
    </row>
    <row r="25" spans="2:21" x14ac:dyDescent="0.25">
      <c r="I25" s="50"/>
      <c r="J25" s="22"/>
      <c r="K25" s="23"/>
      <c r="L25" s="85"/>
      <c r="M25" s="85"/>
      <c r="N25" s="85"/>
      <c r="O25" s="85"/>
      <c r="P25" s="85"/>
      <c r="Q25" s="85"/>
      <c r="R25" s="21" t="s">
        <v>41</v>
      </c>
      <c r="S25" s="21" t="s">
        <v>37</v>
      </c>
      <c r="T25" s="21">
        <v>1</v>
      </c>
      <c r="U25" s="21">
        <f>C11</f>
        <v>369.29</v>
      </c>
    </row>
    <row r="26" spans="2:21" x14ac:dyDescent="0.25">
      <c r="L26" s="85"/>
      <c r="M26" s="85"/>
      <c r="N26" s="85"/>
      <c r="O26" s="85"/>
      <c r="P26" s="85"/>
      <c r="Q26" s="85"/>
      <c r="R26" s="21" t="s">
        <v>41</v>
      </c>
      <c r="S26" s="21" t="s">
        <v>37</v>
      </c>
      <c r="T26" s="21">
        <v>2</v>
      </c>
      <c r="U26" s="21">
        <f>D11</f>
        <v>361.71</v>
      </c>
    </row>
    <row r="27" spans="2:21" x14ac:dyDescent="0.25">
      <c r="B27" s="21" t="s">
        <v>0</v>
      </c>
      <c r="C27" s="21" t="s">
        <v>49</v>
      </c>
      <c r="E27" s="90" t="s">
        <v>96</v>
      </c>
      <c r="F27" s="90"/>
      <c r="G27" s="21" t="s">
        <v>94</v>
      </c>
      <c r="H27" s="21" t="s">
        <v>95</v>
      </c>
      <c r="I27" s="90" t="s">
        <v>103</v>
      </c>
      <c r="J27" s="90"/>
      <c r="L27" s="85"/>
      <c r="M27" s="85"/>
      <c r="N27" s="85"/>
      <c r="O27" s="85"/>
      <c r="P27" s="85"/>
      <c r="Q27" s="85"/>
      <c r="R27" s="21" t="s">
        <v>41</v>
      </c>
      <c r="S27" s="21" t="s">
        <v>37</v>
      </c>
      <c r="T27" s="21">
        <v>3</v>
      </c>
      <c r="U27" s="21">
        <f>E11</f>
        <v>322.94</v>
      </c>
    </row>
    <row r="28" spans="2:21" x14ac:dyDescent="0.25">
      <c r="B28" s="21" t="s">
        <v>39</v>
      </c>
      <c r="C28" s="21">
        <f>G20</f>
        <v>222.12777777777777</v>
      </c>
      <c r="E28" s="21" t="s">
        <v>39</v>
      </c>
      <c r="F28" s="21">
        <f>C28</f>
        <v>222.12777777777777</v>
      </c>
      <c r="G28" s="21">
        <f>F28+J30</f>
        <v>276.77636089250677</v>
      </c>
      <c r="H28" s="21" t="s">
        <v>59</v>
      </c>
      <c r="I28" s="21" t="s">
        <v>111</v>
      </c>
      <c r="J28" s="21">
        <f>SQRT(L18/(J3*J5))</f>
        <v>14.972214551980555</v>
      </c>
      <c r="L28" s="85"/>
      <c r="M28" s="85"/>
      <c r="N28" s="85"/>
      <c r="O28" s="85"/>
      <c r="P28" s="85"/>
      <c r="Q28" s="85"/>
      <c r="R28" s="21" t="s">
        <v>41</v>
      </c>
      <c r="S28" s="21" t="s">
        <v>38</v>
      </c>
      <c r="T28" s="21">
        <v>1</v>
      </c>
      <c r="U28" s="21">
        <f>C12</f>
        <v>136.99</v>
      </c>
    </row>
    <row r="29" spans="2:21" x14ac:dyDescent="0.25">
      <c r="B29" s="21" t="s">
        <v>40</v>
      </c>
      <c r="C29" s="21">
        <f>G21</f>
        <v>232.9111111111111</v>
      </c>
      <c r="E29" s="21" t="s">
        <v>41</v>
      </c>
      <c r="F29" s="21">
        <f>C30</f>
        <v>230.74888888888887</v>
      </c>
      <c r="H29" s="21" t="s">
        <v>59</v>
      </c>
      <c r="I29" s="21" t="s">
        <v>42</v>
      </c>
      <c r="J29" s="21">
        <v>3.65</v>
      </c>
      <c r="L29" s="85"/>
      <c r="M29" s="85"/>
      <c r="N29" s="85"/>
      <c r="O29" s="85"/>
      <c r="P29" s="85"/>
      <c r="Q29" s="85"/>
      <c r="R29" s="21" t="s">
        <v>41</v>
      </c>
      <c r="S29" s="21" t="s">
        <v>38</v>
      </c>
      <c r="T29" s="21">
        <v>2</v>
      </c>
      <c r="U29" s="21">
        <f>D12</f>
        <v>143.37</v>
      </c>
    </row>
    <row r="30" spans="2:21" x14ac:dyDescent="0.25">
      <c r="B30" s="21" t="s">
        <v>41</v>
      </c>
      <c r="C30" s="21">
        <f>G22</f>
        <v>230.74888888888887</v>
      </c>
      <c r="E30" s="21" t="s">
        <v>40</v>
      </c>
      <c r="F30" s="21">
        <f>C29</f>
        <v>232.9111111111111</v>
      </c>
      <c r="H30" s="21" t="s">
        <v>59</v>
      </c>
      <c r="I30" s="21" t="s">
        <v>43</v>
      </c>
      <c r="J30" s="21">
        <f>J29*J28</f>
        <v>54.648583114729021</v>
      </c>
      <c r="L30" s="27"/>
      <c r="M30" s="22"/>
      <c r="N30" s="22"/>
      <c r="O30" s="22"/>
      <c r="P30" s="22"/>
      <c r="R30" s="21" t="s">
        <v>41</v>
      </c>
      <c r="S30" s="21" t="s">
        <v>38</v>
      </c>
      <c r="T30" s="21">
        <v>3</v>
      </c>
      <c r="U30" s="21">
        <f>E12</f>
        <v>156.87</v>
      </c>
    </row>
    <row r="31" spans="2:21" x14ac:dyDescent="0.25">
      <c r="B31" s="97" t="s">
        <v>126</v>
      </c>
      <c r="C31" s="97"/>
      <c r="D31" s="97"/>
      <c r="E31" s="97"/>
      <c r="F31" s="97"/>
      <c r="G31" s="97"/>
      <c r="H31" s="97"/>
      <c r="I31" s="97"/>
      <c r="J31" s="97"/>
      <c r="K31" s="62"/>
      <c r="L31" s="62"/>
      <c r="M31" s="62"/>
    </row>
    <row r="32" spans="2:21" x14ac:dyDescent="0.25">
      <c r="B32" s="97"/>
      <c r="C32" s="97"/>
      <c r="D32" s="97"/>
      <c r="E32" s="97"/>
      <c r="F32" s="97"/>
      <c r="G32" s="97"/>
      <c r="H32" s="97"/>
      <c r="I32" s="97"/>
      <c r="J32" s="97"/>
      <c r="K32" s="62"/>
      <c r="L32" s="62"/>
      <c r="M32" s="62"/>
      <c r="N32" s="22"/>
      <c r="O32" s="22"/>
      <c r="P32" s="22"/>
    </row>
    <row r="33" spans="2:16" x14ac:dyDescent="0.25">
      <c r="E33" s="62"/>
      <c r="F33" s="62"/>
      <c r="G33" s="62"/>
      <c r="H33" s="62"/>
      <c r="I33" s="62"/>
      <c r="J33" s="62"/>
      <c r="K33" s="62"/>
      <c r="L33" s="62"/>
      <c r="M33" s="62"/>
      <c r="N33" s="22"/>
      <c r="O33" s="22"/>
      <c r="P33" s="22"/>
    </row>
    <row r="34" spans="2:16" x14ac:dyDescent="0.25">
      <c r="B34" s="21" t="s">
        <v>0</v>
      </c>
      <c r="C34" s="21" t="s">
        <v>49</v>
      </c>
      <c r="E34" s="90" t="s">
        <v>96</v>
      </c>
      <c r="F34" s="90"/>
      <c r="G34" s="62" t="s">
        <v>94</v>
      </c>
      <c r="H34" s="62" t="s">
        <v>95</v>
      </c>
      <c r="I34" s="96" t="s">
        <v>104</v>
      </c>
      <c r="J34" s="96"/>
      <c r="K34" s="62"/>
      <c r="L34" s="62"/>
      <c r="M34" s="62"/>
      <c r="N34" s="23"/>
      <c r="O34" s="22"/>
      <c r="P34" s="22"/>
    </row>
    <row r="35" spans="2:16" x14ac:dyDescent="0.25">
      <c r="B35" s="21" t="s">
        <v>36</v>
      </c>
      <c r="C35" s="21">
        <f>C24</f>
        <v>217.64999999999998</v>
      </c>
      <c r="E35" s="21" t="s">
        <v>38</v>
      </c>
      <c r="F35" s="21">
        <f>C37</f>
        <v>171.57111111111112</v>
      </c>
      <c r="G35" s="21">
        <f>J37+F35</f>
        <v>226.21969422584016</v>
      </c>
      <c r="H35" s="21" t="s">
        <v>59</v>
      </c>
      <c r="I35" s="21" t="s">
        <v>111</v>
      </c>
      <c r="J35" s="21">
        <f>SQRT(L18/(J4*J5))</f>
        <v>14.972214551980555</v>
      </c>
      <c r="M35" s="22"/>
    </row>
    <row r="36" spans="2:16" x14ac:dyDescent="0.25">
      <c r="B36" s="21" t="s">
        <v>37</v>
      </c>
      <c r="C36" s="21">
        <f>D24</f>
        <v>296.56666666666666</v>
      </c>
      <c r="E36" s="21" t="s">
        <v>36</v>
      </c>
      <c r="F36" s="21">
        <f>C35</f>
        <v>217.64999999999998</v>
      </c>
      <c r="G36" s="21">
        <f>F36+J37</f>
        <v>272.29858311472901</v>
      </c>
      <c r="H36" s="21" t="s">
        <v>59</v>
      </c>
      <c r="I36" s="21" t="s">
        <v>42</v>
      </c>
      <c r="J36" s="21">
        <v>3.65</v>
      </c>
      <c r="M36" s="22"/>
      <c r="N36" s="22"/>
      <c r="O36" s="22"/>
      <c r="P36" s="22"/>
    </row>
    <row r="37" spans="2:16" x14ac:dyDescent="0.25">
      <c r="B37" s="21" t="s">
        <v>38</v>
      </c>
      <c r="C37" s="21">
        <f>E24</f>
        <v>171.57111111111112</v>
      </c>
      <c r="E37" s="21" t="s">
        <v>37</v>
      </c>
      <c r="F37" s="21">
        <f>C36</f>
        <v>296.56666666666666</v>
      </c>
      <c r="G37" s="21">
        <f>F37+J37</f>
        <v>351.2152497813957</v>
      </c>
      <c r="H37" s="21" t="s">
        <v>61</v>
      </c>
      <c r="I37" s="21" t="s">
        <v>43</v>
      </c>
      <c r="J37" s="27">
        <f>J36*J35</f>
        <v>54.648583114729021</v>
      </c>
      <c r="N37" s="22"/>
      <c r="O37" s="22"/>
      <c r="P37" s="22"/>
    </row>
    <row r="38" spans="2:16" x14ac:dyDescent="0.25">
      <c r="B38" s="85" t="s">
        <v>125</v>
      </c>
      <c r="C38" s="85"/>
      <c r="D38" s="85"/>
      <c r="E38" s="85"/>
      <c r="F38" s="85"/>
      <c r="G38" s="85"/>
      <c r="H38" s="85"/>
      <c r="I38" s="85"/>
      <c r="J38" s="85"/>
      <c r="M38" s="22"/>
      <c r="N38" s="22"/>
      <c r="O38" s="22"/>
      <c r="P38" s="22"/>
    </row>
    <row r="39" spans="2:16" x14ac:dyDescent="0.25">
      <c r="B39" s="85"/>
      <c r="C39" s="85"/>
      <c r="D39" s="85"/>
      <c r="E39" s="85"/>
      <c r="F39" s="85"/>
      <c r="G39" s="85"/>
      <c r="H39" s="85"/>
      <c r="I39" s="85"/>
      <c r="J39" s="85"/>
      <c r="M39" s="22"/>
    </row>
    <row r="40" spans="2:16" x14ac:dyDescent="0.25">
      <c r="M40" s="22"/>
    </row>
    <row r="42" spans="2:16" x14ac:dyDescent="0.25">
      <c r="B42" s="21" t="s">
        <v>0</v>
      </c>
      <c r="C42" s="21" t="s">
        <v>49</v>
      </c>
      <c r="E42" s="90" t="s">
        <v>96</v>
      </c>
      <c r="F42" s="90"/>
      <c r="G42" s="21" t="s">
        <v>94</v>
      </c>
      <c r="H42" s="21" t="s">
        <v>95</v>
      </c>
      <c r="I42" s="90" t="s">
        <v>106</v>
      </c>
      <c r="J42" s="90"/>
    </row>
    <row r="43" spans="2:16" x14ac:dyDescent="0.25">
      <c r="B43" t="s">
        <v>8</v>
      </c>
      <c r="C43" s="27">
        <f t="shared" ref="C43:C51" si="4">G4</f>
        <v>246.02666666666664</v>
      </c>
      <c r="E43" s="21" t="s">
        <v>26</v>
      </c>
      <c r="F43" s="27">
        <f>C51</f>
        <v>145.74333333333334</v>
      </c>
      <c r="G43" s="27">
        <f>F43+J45</f>
        <v>263.99615488802033</v>
      </c>
      <c r="H43" s="21" t="s">
        <v>59</v>
      </c>
      <c r="I43" s="21" t="s">
        <v>111</v>
      </c>
      <c r="J43" s="21">
        <f>SQRT(L18/J5)</f>
        <v>25.932636305852416</v>
      </c>
    </row>
    <row r="44" spans="2:16" x14ac:dyDescent="0.25">
      <c r="B44" t="s">
        <v>10</v>
      </c>
      <c r="C44" s="27">
        <f t="shared" si="4"/>
        <v>222.02666666666664</v>
      </c>
      <c r="E44" s="21" t="s">
        <v>16</v>
      </c>
      <c r="F44" s="27">
        <f>C48</f>
        <v>170.64000000000001</v>
      </c>
      <c r="G44" s="27">
        <f>F44+J45</f>
        <v>288.89282155468703</v>
      </c>
      <c r="H44" s="21" t="s">
        <v>59</v>
      </c>
      <c r="I44" s="21" t="s">
        <v>42</v>
      </c>
      <c r="J44" s="21">
        <v>4.5599999999999996</v>
      </c>
    </row>
    <row r="45" spans="2:16" x14ac:dyDescent="0.25">
      <c r="B45" t="s">
        <v>12</v>
      </c>
      <c r="C45" s="27">
        <f t="shared" si="4"/>
        <v>198.33</v>
      </c>
      <c r="E45" s="21" t="s">
        <v>17</v>
      </c>
      <c r="F45" s="27">
        <f>C49</f>
        <v>195.18999999999997</v>
      </c>
      <c r="G45" s="27">
        <f>F45+J45</f>
        <v>313.44282155468699</v>
      </c>
      <c r="H45" s="21" t="s">
        <v>59</v>
      </c>
      <c r="I45" s="21" t="s">
        <v>43</v>
      </c>
      <c r="J45" s="21">
        <f>J44*J43</f>
        <v>118.252821554687</v>
      </c>
    </row>
    <row r="46" spans="2:16" x14ac:dyDescent="0.25">
      <c r="B46" t="s">
        <v>13</v>
      </c>
      <c r="C46" s="27">
        <f t="shared" si="4"/>
        <v>211.73333333333335</v>
      </c>
      <c r="E46" s="21" t="s">
        <v>12</v>
      </c>
      <c r="F46" s="27">
        <f>C45</f>
        <v>198.33</v>
      </c>
      <c r="G46" s="27">
        <f>J45+F46</f>
        <v>316.58282155468703</v>
      </c>
      <c r="H46" s="21" t="s">
        <v>57</v>
      </c>
    </row>
    <row r="47" spans="2:16" x14ac:dyDescent="0.25">
      <c r="B47" t="s">
        <v>15</v>
      </c>
      <c r="C47" s="27">
        <f t="shared" si="4"/>
        <v>316.35999999999996</v>
      </c>
      <c r="E47" s="21" t="s">
        <v>13</v>
      </c>
      <c r="F47" s="27">
        <f>C46</f>
        <v>211.73333333333335</v>
      </c>
      <c r="G47" s="27">
        <f>F47+J45</f>
        <v>329.98615488802034</v>
      </c>
      <c r="H47" s="21" t="s">
        <v>57</v>
      </c>
    </row>
    <row r="48" spans="2:16" x14ac:dyDescent="0.25">
      <c r="B48" t="s">
        <v>16</v>
      </c>
      <c r="C48" s="27">
        <f t="shared" si="4"/>
        <v>170.64000000000001</v>
      </c>
      <c r="E48" s="21" t="s">
        <v>10</v>
      </c>
      <c r="F48" s="27">
        <f>C44</f>
        <v>222.02666666666664</v>
      </c>
      <c r="G48" s="27">
        <f>F48+J45</f>
        <v>340.27948822135363</v>
      </c>
      <c r="H48" s="21" t="s">
        <v>57</v>
      </c>
    </row>
    <row r="49" spans="2:8" x14ac:dyDescent="0.25">
      <c r="B49" t="s">
        <v>17</v>
      </c>
      <c r="C49" s="27">
        <f t="shared" si="4"/>
        <v>195.18999999999997</v>
      </c>
      <c r="E49" s="21" t="s">
        <v>8</v>
      </c>
      <c r="F49" s="27">
        <f>C43</f>
        <v>246.02666666666664</v>
      </c>
      <c r="G49" s="27">
        <f>F49+J45</f>
        <v>364.27948822135363</v>
      </c>
      <c r="H49" s="21" t="s">
        <v>55</v>
      </c>
    </row>
    <row r="50" spans="2:8" x14ac:dyDescent="0.25">
      <c r="B50" t="s">
        <v>18</v>
      </c>
      <c r="C50" s="27">
        <f t="shared" si="4"/>
        <v>351.31333333333333</v>
      </c>
      <c r="E50" s="21" t="s">
        <v>15</v>
      </c>
      <c r="F50" s="27">
        <f>C47</f>
        <v>316.35999999999996</v>
      </c>
      <c r="H50" s="21" t="s">
        <v>56</v>
      </c>
    </row>
    <row r="51" spans="2:8" x14ac:dyDescent="0.25">
      <c r="B51" t="s">
        <v>26</v>
      </c>
      <c r="C51" s="27">
        <f t="shared" si="4"/>
        <v>145.74333333333334</v>
      </c>
      <c r="E51" s="21" t="s">
        <v>18</v>
      </c>
      <c r="F51" s="27">
        <f>C50</f>
        <v>351.31333333333333</v>
      </c>
      <c r="H51" s="21" t="s">
        <v>58</v>
      </c>
    </row>
  </sheetData>
  <mergeCells count="23">
    <mergeCell ref="L21:Q29"/>
    <mergeCell ref="F2:F3"/>
    <mergeCell ref="B2:B3"/>
    <mergeCell ref="C2:E2"/>
    <mergeCell ref="G2:G3"/>
    <mergeCell ref="B18:B19"/>
    <mergeCell ref="C18:E18"/>
    <mergeCell ref="N11:O11"/>
    <mergeCell ref="P11:P12"/>
    <mergeCell ref="B17:E17"/>
    <mergeCell ref="I11:I12"/>
    <mergeCell ref="K11:K12"/>
    <mergeCell ref="J11:J12"/>
    <mergeCell ref="L11:L12"/>
    <mergeCell ref="M11:M12"/>
    <mergeCell ref="E27:F27"/>
    <mergeCell ref="I27:J27"/>
    <mergeCell ref="E42:F42"/>
    <mergeCell ref="I42:J42"/>
    <mergeCell ref="E34:F34"/>
    <mergeCell ref="I34:J34"/>
    <mergeCell ref="B38:J39"/>
    <mergeCell ref="B31:J32"/>
  </mergeCells>
  <phoneticPr fontId="3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140"/>
  <sheetViews>
    <sheetView topLeftCell="M1" zoomScale="77" zoomScaleNormal="77" workbookViewId="0">
      <selection activeCell="Z111" sqref="Z111"/>
    </sheetView>
  </sheetViews>
  <sheetFormatPr defaultColWidth="9.140625" defaultRowHeight="15.75" x14ac:dyDescent="0.25"/>
  <cols>
    <col min="1" max="1" width="15" style="1" customWidth="1"/>
    <col min="2" max="11" width="9.140625" style="1"/>
    <col min="12" max="12" width="18.28515625" style="1" customWidth="1"/>
    <col min="13" max="25" width="9.140625" style="1"/>
    <col min="26" max="26" width="53.140625" style="1" customWidth="1"/>
    <col min="27" max="27" width="12.42578125" style="1" customWidth="1"/>
    <col min="28" max="28" width="14" style="1" customWidth="1"/>
    <col min="29" max="32" width="9.140625" style="1"/>
    <col min="33" max="33" width="15.85546875" style="1" customWidth="1"/>
    <col min="34" max="34" width="9.140625" style="1"/>
    <col min="35" max="35" width="11" style="1" customWidth="1"/>
    <col min="36" max="16384" width="9.140625" style="1"/>
  </cols>
  <sheetData>
    <row r="1" spans="1:36" x14ac:dyDescent="0.25">
      <c r="L1" s="1" t="s">
        <v>63</v>
      </c>
    </row>
    <row r="2" spans="1:36" x14ac:dyDescent="0.25">
      <c r="A2" s="98" t="s">
        <v>45</v>
      </c>
      <c r="B2" s="98" t="s">
        <v>64</v>
      </c>
      <c r="C2" s="98"/>
      <c r="D2" s="98"/>
      <c r="E2" s="98"/>
      <c r="F2" s="98"/>
      <c r="G2" s="98"/>
      <c r="H2" s="98"/>
      <c r="I2" s="98"/>
      <c r="J2" s="98"/>
      <c r="L2" s="99" t="s">
        <v>45</v>
      </c>
      <c r="M2" s="99" t="s">
        <v>64</v>
      </c>
      <c r="N2" s="99"/>
      <c r="O2" s="99"/>
      <c r="P2" s="99"/>
      <c r="Q2" s="99"/>
      <c r="R2" s="99"/>
      <c r="S2" s="99"/>
      <c r="T2" s="99"/>
      <c r="U2" s="99"/>
    </row>
    <row r="3" spans="1:36" x14ac:dyDescent="0.25">
      <c r="A3" s="98"/>
      <c r="B3" s="24">
        <v>813</v>
      </c>
      <c r="C3" s="24">
        <v>341</v>
      </c>
      <c r="D3" s="24">
        <v>792</v>
      </c>
      <c r="E3" s="24">
        <v>627</v>
      </c>
      <c r="F3" s="24">
        <v>303</v>
      </c>
      <c r="G3" s="24">
        <v>322</v>
      </c>
      <c r="H3" s="24">
        <v>852</v>
      </c>
      <c r="I3" s="24">
        <v>255</v>
      </c>
      <c r="J3" s="24">
        <v>942</v>
      </c>
      <c r="L3" s="99"/>
      <c r="M3" s="46" t="s">
        <v>8</v>
      </c>
      <c r="N3" s="46" t="s">
        <v>13</v>
      </c>
      <c r="O3" s="46" t="s">
        <v>17</v>
      </c>
      <c r="P3" s="46" t="s">
        <v>10</v>
      </c>
      <c r="Q3" s="46" t="s">
        <v>15</v>
      </c>
      <c r="R3" s="46" t="s">
        <v>18</v>
      </c>
      <c r="S3" s="46" t="s">
        <v>12</v>
      </c>
      <c r="T3" s="46" t="s">
        <v>16</v>
      </c>
      <c r="U3" s="46" t="s">
        <v>26</v>
      </c>
      <c r="V3" s="1" t="s">
        <v>68</v>
      </c>
      <c r="Z3" s="1" t="s">
        <v>7</v>
      </c>
      <c r="AA3" s="1">
        <f>(12/((30*9)*(9+1))*SUMSQ(M34:U34)-3*(30)*(9+1))</f>
        <v>14.946666666666715</v>
      </c>
    </row>
    <row r="4" spans="1:36" x14ac:dyDescent="0.25">
      <c r="A4" s="24">
        <v>1</v>
      </c>
      <c r="B4" s="29">
        <v>2</v>
      </c>
      <c r="C4" s="29">
        <v>2</v>
      </c>
      <c r="D4" s="29">
        <v>4</v>
      </c>
      <c r="E4" s="29">
        <v>2</v>
      </c>
      <c r="F4" s="29">
        <v>2</v>
      </c>
      <c r="G4" s="29">
        <v>4</v>
      </c>
      <c r="H4" s="29">
        <v>2</v>
      </c>
      <c r="I4" s="29">
        <v>2</v>
      </c>
      <c r="J4" s="29">
        <v>4</v>
      </c>
      <c r="L4" s="46">
        <v>1</v>
      </c>
      <c r="M4" s="40">
        <v>3.5</v>
      </c>
      <c r="N4" s="40">
        <v>3.5</v>
      </c>
      <c r="O4" s="40">
        <v>8</v>
      </c>
      <c r="P4" s="40">
        <v>3.5</v>
      </c>
      <c r="Q4" s="40">
        <v>3.5</v>
      </c>
      <c r="R4" s="40">
        <v>8</v>
      </c>
      <c r="S4" s="40">
        <v>3.5</v>
      </c>
      <c r="T4" s="40">
        <v>3.5</v>
      </c>
      <c r="U4" s="40">
        <v>8</v>
      </c>
      <c r="V4" s="1">
        <f>SUM(M4:U4)</f>
        <v>45</v>
      </c>
      <c r="Z4" s="1" t="s">
        <v>70</v>
      </c>
      <c r="AA4" s="1">
        <f>_xlfn.CHISQ.INV.RT(0.05,8)</f>
        <v>15.507313055865453</v>
      </c>
    </row>
    <row r="5" spans="1:36" x14ac:dyDescent="0.25">
      <c r="A5" s="24">
        <v>2</v>
      </c>
      <c r="B5" s="29">
        <v>4</v>
      </c>
      <c r="C5" s="29">
        <v>4</v>
      </c>
      <c r="D5" s="29">
        <v>2</v>
      </c>
      <c r="E5" s="29">
        <v>2</v>
      </c>
      <c r="F5" s="29">
        <v>4</v>
      </c>
      <c r="G5" s="29">
        <v>4</v>
      </c>
      <c r="H5" s="29">
        <v>4</v>
      </c>
      <c r="I5" s="29">
        <v>4</v>
      </c>
      <c r="J5" s="29">
        <v>4</v>
      </c>
      <c r="L5" s="46">
        <v>2</v>
      </c>
      <c r="M5" s="40">
        <v>6</v>
      </c>
      <c r="N5" s="40">
        <v>6</v>
      </c>
      <c r="O5" s="40">
        <v>6</v>
      </c>
      <c r="P5" s="40">
        <v>6</v>
      </c>
      <c r="Q5" s="40">
        <v>6</v>
      </c>
      <c r="R5" s="40">
        <v>1.5</v>
      </c>
      <c r="S5" s="40">
        <v>1.5</v>
      </c>
      <c r="T5" s="40">
        <v>6</v>
      </c>
      <c r="U5" s="40">
        <v>6</v>
      </c>
      <c r="V5" s="1">
        <f t="shared" ref="V5:V33" si="0">SUM(M5:U5)</f>
        <v>45</v>
      </c>
    </row>
    <row r="6" spans="1:36" x14ac:dyDescent="0.25">
      <c r="A6" s="24">
        <v>3</v>
      </c>
      <c r="B6" s="29">
        <v>4</v>
      </c>
      <c r="C6" s="29">
        <v>4</v>
      </c>
      <c r="D6" s="29">
        <v>4</v>
      </c>
      <c r="E6" s="29">
        <v>4</v>
      </c>
      <c r="F6" s="29">
        <v>2</v>
      </c>
      <c r="G6" s="29">
        <v>4</v>
      </c>
      <c r="H6" s="29">
        <v>2</v>
      </c>
      <c r="I6" s="29">
        <v>4</v>
      </c>
      <c r="J6" s="29">
        <v>4</v>
      </c>
      <c r="L6" s="46">
        <v>3</v>
      </c>
      <c r="M6" s="40">
        <v>1.5</v>
      </c>
      <c r="N6" s="40">
        <v>6</v>
      </c>
      <c r="O6" s="40">
        <v>6</v>
      </c>
      <c r="P6" s="40">
        <v>6</v>
      </c>
      <c r="Q6" s="40">
        <v>6</v>
      </c>
      <c r="R6" s="40">
        <v>6</v>
      </c>
      <c r="S6" s="40">
        <v>6</v>
      </c>
      <c r="T6" s="40">
        <v>1.5</v>
      </c>
      <c r="U6" s="40">
        <v>6</v>
      </c>
      <c r="V6" s="1">
        <f t="shared" si="0"/>
        <v>45</v>
      </c>
      <c r="Z6" s="1" t="s">
        <v>71</v>
      </c>
      <c r="AA6" s="1" t="s">
        <v>74</v>
      </c>
    </row>
    <row r="7" spans="1:36" x14ac:dyDescent="0.25">
      <c r="A7" s="24">
        <v>4</v>
      </c>
      <c r="B7" s="29">
        <v>5</v>
      </c>
      <c r="C7" s="29">
        <v>5</v>
      </c>
      <c r="D7" s="29">
        <v>5</v>
      </c>
      <c r="E7" s="29">
        <v>4</v>
      </c>
      <c r="F7" s="29">
        <v>5</v>
      </c>
      <c r="G7" s="29">
        <v>5</v>
      </c>
      <c r="H7" s="29">
        <v>4</v>
      </c>
      <c r="I7" s="29">
        <v>5</v>
      </c>
      <c r="J7" s="29">
        <v>5</v>
      </c>
      <c r="L7" s="46">
        <v>4</v>
      </c>
      <c r="M7" s="40">
        <v>1.5</v>
      </c>
      <c r="N7" s="40">
        <v>6</v>
      </c>
      <c r="O7" s="40">
        <v>6</v>
      </c>
      <c r="P7" s="40">
        <v>6</v>
      </c>
      <c r="Q7" s="40">
        <v>6</v>
      </c>
      <c r="R7" s="40">
        <v>6</v>
      </c>
      <c r="S7" s="40">
        <v>1.5</v>
      </c>
      <c r="T7" s="40">
        <v>6</v>
      </c>
      <c r="U7" s="40">
        <v>6</v>
      </c>
      <c r="V7" s="1">
        <f t="shared" si="0"/>
        <v>45</v>
      </c>
    </row>
    <row r="8" spans="1:36" ht="16.5" thickBot="1" x14ac:dyDescent="0.3">
      <c r="A8" s="24">
        <v>5</v>
      </c>
      <c r="B8" s="29">
        <v>4</v>
      </c>
      <c r="C8" s="29">
        <v>4</v>
      </c>
      <c r="D8" s="29">
        <v>5</v>
      </c>
      <c r="E8" s="29">
        <v>5</v>
      </c>
      <c r="F8" s="29">
        <v>2</v>
      </c>
      <c r="G8" s="29">
        <v>4</v>
      </c>
      <c r="H8" s="29">
        <v>4</v>
      </c>
      <c r="I8" s="29">
        <v>4</v>
      </c>
      <c r="J8" s="29">
        <v>4</v>
      </c>
      <c r="L8" s="46">
        <v>5</v>
      </c>
      <c r="M8" s="40">
        <v>4.5</v>
      </c>
      <c r="N8" s="40">
        <v>4.5</v>
      </c>
      <c r="O8" s="40">
        <v>4.5</v>
      </c>
      <c r="P8" s="40">
        <v>4.5</v>
      </c>
      <c r="Q8" s="40">
        <v>4.5</v>
      </c>
      <c r="R8" s="40">
        <v>8.5</v>
      </c>
      <c r="S8" s="40">
        <v>8.5</v>
      </c>
      <c r="T8" s="40">
        <v>1</v>
      </c>
      <c r="U8" s="40">
        <v>4.5</v>
      </c>
      <c r="V8" s="1">
        <f t="shared" si="0"/>
        <v>45</v>
      </c>
      <c r="Z8" s="1" t="s">
        <v>0</v>
      </c>
      <c r="AA8" s="1" t="s">
        <v>49</v>
      </c>
      <c r="AB8" s="1" t="s">
        <v>72</v>
      </c>
    </row>
    <row r="9" spans="1:36" x14ac:dyDescent="0.25">
      <c r="A9" s="24">
        <v>6</v>
      </c>
      <c r="B9" s="29">
        <v>4</v>
      </c>
      <c r="C9" s="29">
        <v>4</v>
      </c>
      <c r="D9" s="29">
        <v>4</v>
      </c>
      <c r="E9" s="29">
        <v>2</v>
      </c>
      <c r="F9" s="29">
        <v>2</v>
      </c>
      <c r="G9" s="29">
        <v>5</v>
      </c>
      <c r="H9" s="29">
        <v>1</v>
      </c>
      <c r="I9" s="29">
        <v>1</v>
      </c>
      <c r="J9" s="29">
        <v>1</v>
      </c>
      <c r="L9" s="46">
        <v>6</v>
      </c>
      <c r="M9" s="40">
        <v>2</v>
      </c>
      <c r="N9" s="40">
        <v>2</v>
      </c>
      <c r="O9" s="40">
        <v>2</v>
      </c>
      <c r="P9" s="40">
        <v>7</v>
      </c>
      <c r="Q9" s="40">
        <v>7</v>
      </c>
      <c r="R9" s="40">
        <v>7</v>
      </c>
      <c r="S9" s="40">
        <v>4.5</v>
      </c>
      <c r="T9" s="40">
        <v>4.5</v>
      </c>
      <c r="U9" s="40">
        <v>9</v>
      </c>
      <c r="V9" s="1">
        <f t="shared" si="0"/>
        <v>45</v>
      </c>
      <c r="Z9" s="65" t="s">
        <v>147</v>
      </c>
      <c r="AA9" s="6">
        <f>H35</f>
        <v>3.4666666666666668</v>
      </c>
      <c r="AB9" s="1">
        <f>M34</f>
        <v>137</v>
      </c>
      <c r="AE9" s="1">
        <f>((30*9)*(9+1))</f>
        <v>2700</v>
      </c>
      <c r="AJ9" s="1">
        <f>((12*AE11)/AE9)</f>
        <v>914.94666666666672</v>
      </c>
    </row>
    <row r="10" spans="1:36" x14ac:dyDescent="0.25">
      <c r="A10" s="24">
        <v>7</v>
      </c>
      <c r="B10" s="29">
        <v>4</v>
      </c>
      <c r="C10" s="29">
        <v>4</v>
      </c>
      <c r="D10" s="29">
        <v>2</v>
      </c>
      <c r="E10" s="29">
        <v>2</v>
      </c>
      <c r="F10" s="29">
        <v>4</v>
      </c>
      <c r="G10" s="29">
        <v>4</v>
      </c>
      <c r="H10" s="29">
        <v>4</v>
      </c>
      <c r="I10" s="29">
        <v>4</v>
      </c>
      <c r="J10" s="29">
        <v>4</v>
      </c>
      <c r="L10" s="46">
        <v>7</v>
      </c>
      <c r="M10" s="40">
        <v>6</v>
      </c>
      <c r="N10" s="40">
        <v>6</v>
      </c>
      <c r="O10" s="40">
        <v>6</v>
      </c>
      <c r="P10" s="40">
        <v>6</v>
      </c>
      <c r="Q10" s="40">
        <v>6</v>
      </c>
      <c r="R10" s="40">
        <v>1.5</v>
      </c>
      <c r="S10" s="40">
        <v>1.5</v>
      </c>
      <c r="T10" s="40">
        <v>6</v>
      </c>
      <c r="U10" s="40">
        <v>6</v>
      </c>
      <c r="V10" s="1">
        <f t="shared" si="0"/>
        <v>45</v>
      </c>
      <c r="Z10" s="66" t="s">
        <v>139</v>
      </c>
      <c r="AA10" s="6">
        <f>I35</f>
        <v>3.2666666666666666</v>
      </c>
      <c r="AB10" s="1">
        <f>N34</f>
        <v>133</v>
      </c>
    </row>
    <row r="11" spans="1:36" x14ac:dyDescent="0.25">
      <c r="A11" s="24">
        <v>8</v>
      </c>
      <c r="B11" s="29">
        <v>4</v>
      </c>
      <c r="C11" s="29">
        <v>4</v>
      </c>
      <c r="D11" s="29">
        <v>5</v>
      </c>
      <c r="E11" s="29">
        <v>2</v>
      </c>
      <c r="F11" s="29">
        <v>2</v>
      </c>
      <c r="G11" s="29">
        <v>5</v>
      </c>
      <c r="H11" s="29">
        <v>5</v>
      </c>
      <c r="I11" s="29">
        <v>1</v>
      </c>
      <c r="J11" s="29">
        <v>4</v>
      </c>
      <c r="L11" s="46">
        <v>8</v>
      </c>
      <c r="M11" s="40">
        <v>8</v>
      </c>
      <c r="N11" s="40">
        <v>1</v>
      </c>
      <c r="O11" s="40">
        <v>5</v>
      </c>
      <c r="P11" s="40">
        <v>5</v>
      </c>
      <c r="Q11" s="40">
        <v>5</v>
      </c>
      <c r="R11" s="40">
        <v>8</v>
      </c>
      <c r="S11" s="40">
        <v>2.5</v>
      </c>
      <c r="T11" s="40">
        <v>2.5</v>
      </c>
      <c r="U11" s="40">
        <v>8</v>
      </c>
      <c r="V11" s="1">
        <f t="shared" si="0"/>
        <v>45</v>
      </c>
      <c r="Z11" s="66" t="s">
        <v>140</v>
      </c>
      <c r="AA11" s="6">
        <f>J35</f>
        <v>3.5666666666666669</v>
      </c>
      <c r="AB11" s="1">
        <f>O34</f>
        <v>147.5</v>
      </c>
      <c r="AE11" s="1">
        <f>SUMSQ(AB9:AB17)</f>
        <v>205863</v>
      </c>
    </row>
    <row r="12" spans="1:36" x14ac:dyDescent="0.25">
      <c r="A12" s="24">
        <v>9</v>
      </c>
      <c r="B12" s="29">
        <v>4</v>
      </c>
      <c r="C12" s="29">
        <v>4</v>
      </c>
      <c r="D12" s="29">
        <v>2</v>
      </c>
      <c r="E12" s="29">
        <v>4</v>
      </c>
      <c r="F12" s="29">
        <v>5</v>
      </c>
      <c r="G12" s="29">
        <v>4</v>
      </c>
      <c r="H12" s="29">
        <v>4</v>
      </c>
      <c r="I12" s="29">
        <v>2</v>
      </c>
      <c r="J12" s="29">
        <v>2</v>
      </c>
      <c r="L12" s="46">
        <v>9</v>
      </c>
      <c r="M12" s="40">
        <v>6</v>
      </c>
      <c r="N12" s="40">
        <v>2</v>
      </c>
      <c r="O12" s="40">
        <v>2</v>
      </c>
      <c r="P12" s="40">
        <v>6</v>
      </c>
      <c r="Q12" s="40">
        <v>6</v>
      </c>
      <c r="R12" s="40">
        <v>2</v>
      </c>
      <c r="S12" s="40">
        <v>6</v>
      </c>
      <c r="T12" s="40">
        <v>9</v>
      </c>
      <c r="U12" s="40">
        <v>6</v>
      </c>
      <c r="V12" s="1">
        <f t="shared" si="0"/>
        <v>45</v>
      </c>
      <c r="Z12" s="66" t="s">
        <v>141</v>
      </c>
      <c r="AA12" s="6">
        <f>B35</f>
        <v>4</v>
      </c>
      <c r="AB12" s="1">
        <f>P34</f>
        <v>181</v>
      </c>
    </row>
    <row r="13" spans="1:36" x14ac:dyDescent="0.25">
      <c r="A13" s="24">
        <v>10</v>
      </c>
      <c r="B13" s="29">
        <v>5</v>
      </c>
      <c r="C13" s="29">
        <v>5</v>
      </c>
      <c r="D13" s="29">
        <v>4</v>
      </c>
      <c r="E13" s="29">
        <v>4</v>
      </c>
      <c r="F13" s="29">
        <v>5</v>
      </c>
      <c r="G13" s="29">
        <v>4</v>
      </c>
      <c r="H13" s="29">
        <v>5</v>
      </c>
      <c r="I13" s="29">
        <v>4</v>
      </c>
      <c r="J13" s="29">
        <v>5</v>
      </c>
      <c r="L13" s="46">
        <v>10</v>
      </c>
      <c r="M13" s="40">
        <v>7</v>
      </c>
      <c r="N13" s="40">
        <v>2.5</v>
      </c>
      <c r="O13" s="40">
        <v>7</v>
      </c>
      <c r="P13" s="40">
        <v>7</v>
      </c>
      <c r="Q13" s="40">
        <v>7</v>
      </c>
      <c r="R13" s="40">
        <v>2.5</v>
      </c>
      <c r="S13" s="40">
        <v>2.5</v>
      </c>
      <c r="T13" s="40">
        <v>7</v>
      </c>
      <c r="U13" s="40">
        <v>2.5</v>
      </c>
      <c r="V13" s="1">
        <f t="shared" si="0"/>
        <v>45</v>
      </c>
      <c r="Z13" s="66" t="s">
        <v>142</v>
      </c>
      <c r="AA13" s="6">
        <f>C35</f>
        <v>3.5666666666666669</v>
      </c>
      <c r="AB13" s="1">
        <f>Q34</f>
        <v>138.5</v>
      </c>
    </row>
    <row r="14" spans="1:36" x14ac:dyDescent="0.25">
      <c r="A14" s="24">
        <v>11</v>
      </c>
      <c r="B14" s="29">
        <v>4</v>
      </c>
      <c r="C14" s="29">
        <v>4</v>
      </c>
      <c r="D14" s="29">
        <v>4</v>
      </c>
      <c r="E14" s="29">
        <v>4</v>
      </c>
      <c r="F14" s="29">
        <v>4</v>
      </c>
      <c r="G14" s="29">
        <v>4</v>
      </c>
      <c r="H14" s="29">
        <v>4</v>
      </c>
      <c r="I14" s="29">
        <v>2</v>
      </c>
      <c r="J14" s="29">
        <v>4</v>
      </c>
      <c r="L14" s="46">
        <v>11</v>
      </c>
      <c r="M14" s="40">
        <v>5.5</v>
      </c>
      <c r="N14" s="40">
        <v>1</v>
      </c>
      <c r="O14" s="40">
        <v>5.5</v>
      </c>
      <c r="P14" s="40">
        <v>5.5</v>
      </c>
      <c r="Q14" s="40">
        <v>5.5</v>
      </c>
      <c r="R14" s="40">
        <v>5.5</v>
      </c>
      <c r="S14" s="40">
        <v>5.5</v>
      </c>
      <c r="T14" s="40">
        <v>5.5</v>
      </c>
      <c r="U14" s="40">
        <v>5.5</v>
      </c>
      <c r="V14" s="1">
        <f t="shared" si="0"/>
        <v>45</v>
      </c>
      <c r="Z14" s="66" t="s">
        <v>143</v>
      </c>
      <c r="AA14" s="6">
        <f>D35</f>
        <v>3.8666666666666667</v>
      </c>
      <c r="AB14" s="1">
        <f>R34</f>
        <v>170.5</v>
      </c>
      <c r="AG14" s="1" t="s">
        <v>127</v>
      </c>
      <c r="AH14" s="64">
        <f>AJ9-AE15</f>
        <v>14.946666666666715</v>
      </c>
    </row>
    <row r="15" spans="1:36" x14ac:dyDescent="0.25">
      <c r="A15" s="24">
        <v>12</v>
      </c>
      <c r="B15" s="29">
        <v>5</v>
      </c>
      <c r="C15" s="29">
        <v>4</v>
      </c>
      <c r="D15" s="29">
        <v>5</v>
      </c>
      <c r="E15" s="29">
        <v>5</v>
      </c>
      <c r="F15" s="29">
        <v>4</v>
      </c>
      <c r="G15" s="29">
        <v>5</v>
      </c>
      <c r="H15" s="29">
        <v>4</v>
      </c>
      <c r="I15" s="29">
        <v>5</v>
      </c>
      <c r="J15" s="29">
        <v>4</v>
      </c>
      <c r="L15" s="46">
        <v>12</v>
      </c>
      <c r="M15" s="40">
        <v>2</v>
      </c>
      <c r="N15" s="40">
        <v>7</v>
      </c>
      <c r="O15" s="40">
        <v>2</v>
      </c>
      <c r="P15" s="40">
        <v>7</v>
      </c>
      <c r="Q15" s="40">
        <v>2</v>
      </c>
      <c r="R15" s="40">
        <v>7</v>
      </c>
      <c r="S15" s="40">
        <v>7</v>
      </c>
      <c r="T15" s="40">
        <v>2</v>
      </c>
      <c r="U15" s="40">
        <v>7</v>
      </c>
      <c r="V15" s="1">
        <f t="shared" si="0"/>
        <v>43</v>
      </c>
      <c r="Z15" s="66" t="s">
        <v>144</v>
      </c>
      <c r="AA15" s="6">
        <f>E35</f>
        <v>3.6333333333333333</v>
      </c>
      <c r="AB15" s="1">
        <f>S34</f>
        <v>148</v>
      </c>
      <c r="AE15" s="1">
        <f>((3*30)*(9+1))</f>
        <v>900</v>
      </c>
    </row>
    <row r="16" spans="1:36" x14ac:dyDescent="0.25">
      <c r="A16" s="24">
        <v>13</v>
      </c>
      <c r="B16" s="29">
        <v>5</v>
      </c>
      <c r="C16" s="29">
        <v>4</v>
      </c>
      <c r="D16" s="29">
        <v>5</v>
      </c>
      <c r="E16" s="29">
        <v>5</v>
      </c>
      <c r="F16" s="29">
        <v>4</v>
      </c>
      <c r="G16" s="29">
        <v>5</v>
      </c>
      <c r="H16" s="29">
        <v>4</v>
      </c>
      <c r="I16" s="29">
        <v>5</v>
      </c>
      <c r="J16" s="29">
        <v>4</v>
      </c>
      <c r="L16" s="46">
        <v>13</v>
      </c>
      <c r="M16" s="40">
        <v>2.5</v>
      </c>
      <c r="N16" s="40">
        <v>7</v>
      </c>
      <c r="O16" s="40">
        <v>2.5</v>
      </c>
      <c r="P16" s="40">
        <v>7</v>
      </c>
      <c r="Q16" s="40">
        <v>2.5</v>
      </c>
      <c r="R16" s="40">
        <v>7</v>
      </c>
      <c r="S16" s="40">
        <v>7</v>
      </c>
      <c r="T16" s="40">
        <v>2.5</v>
      </c>
      <c r="U16" s="40">
        <v>7</v>
      </c>
      <c r="V16" s="1">
        <f t="shared" si="0"/>
        <v>45</v>
      </c>
      <c r="Z16" s="66" t="s">
        <v>145</v>
      </c>
      <c r="AA16" s="6">
        <f>F35</f>
        <v>3.2</v>
      </c>
      <c r="AB16" s="1">
        <f>T34</f>
        <v>115</v>
      </c>
      <c r="AG16" s="1" t="s">
        <v>128</v>
      </c>
      <c r="AH16" s="64">
        <v>15.507</v>
      </c>
      <c r="AI16" s="1" t="s">
        <v>129</v>
      </c>
      <c r="AJ16" s="1">
        <f>9-1</f>
        <v>8</v>
      </c>
    </row>
    <row r="17" spans="1:33" ht="16.5" thickBot="1" x14ac:dyDescent="0.3">
      <c r="A17" s="24">
        <v>14</v>
      </c>
      <c r="B17" s="29">
        <v>4</v>
      </c>
      <c r="C17" s="29">
        <v>2</v>
      </c>
      <c r="D17" s="29">
        <v>4</v>
      </c>
      <c r="E17" s="29">
        <v>4</v>
      </c>
      <c r="F17" s="29">
        <v>2</v>
      </c>
      <c r="G17" s="29">
        <v>4</v>
      </c>
      <c r="H17" s="29">
        <v>2</v>
      </c>
      <c r="I17" s="29">
        <v>2</v>
      </c>
      <c r="J17" s="29">
        <v>4</v>
      </c>
      <c r="L17" s="46">
        <v>14</v>
      </c>
      <c r="M17" s="40">
        <v>2.5</v>
      </c>
      <c r="N17" s="40">
        <v>2.5</v>
      </c>
      <c r="O17" s="40">
        <v>7</v>
      </c>
      <c r="P17" s="40">
        <v>7</v>
      </c>
      <c r="Q17" s="40">
        <v>2.5</v>
      </c>
      <c r="R17" s="40">
        <v>7</v>
      </c>
      <c r="S17" s="40">
        <v>7</v>
      </c>
      <c r="T17" s="40">
        <v>2.5</v>
      </c>
      <c r="U17" s="40">
        <v>7</v>
      </c>
      <c r="V17" s="1">
        <f t="shared" si="0"/>
        <v>45</v>
      </c>
      <c r="Z17" s="67" t="s">
        <v>146</v>
      </c>
      <c r="AA17" s="6">
        <f>G35</f>
        <v>4</v>
      </c>
      <c r="AB17" s="1">
        <f>U34</f>
        <v>177.5</v>
      </c>
      <c r="AG17" s="1" t="s">
        <v>130</v>
      </c>
    </row>
    <row r="18" spans="1:33" x14ac:dyDescent="0.25">
      <c r="A18" s="24">
        <v>15</v>
      </c>
      <c r="B18" s="29">
        <v>5</v>
      </c>
      <c r="C18" s="29">
        <v>2</v>
      </c>
      <c r="D18" s="29">
        <v>2</v>
      </c>
      <c r="E18" s="29">
        <v>4</v>
      </c>
      <c r="F18" s="29">
        <v>2</v>
      </c>
      <c r="G18" s="29">
        <v>4</v>
      </c>
      <c r="H18" s="29">
        <v>2</v>
      </c>
      <c r="I18" s="29">
        <v>2</v>
      </c>
      <c r="J18" s="29">
        <v>4</v>
      </c>
      <c r="L18" s="46">
        <v>15</v>
      </c>
      <c r="M18" s="40">
        <v>3</v>
      </c>
      <c r="N18" s="40">
        <v>3</v>
      </c>
      <c r="O18" s="40">
        <v>7</v>
      </c>
      <c r="P18" s="40">
        <v>9</v>
      </c>
      <c r="Q18" s="40">
        <v>3</v>
      </c>
      <c r="R18" s="40">
        <v>3</v>
      </c>
      <c r="S18" s="40">
        <v>7</v>
      </c>
      <c r="T18" s="40">
        <v>3</v>
      </c>
      <c r="U18" s="40">
        <v>7</v>
      </c>
      <c r="V18" s="1">
        <f t="shared" si="0"/>
        <v>45</v>
      </c>
      <c r="Z18" s="1" t="s">
        <v>73</v>
      </c>
      <c r="AA18" s="90" t="s">
        <v>28</v>
      </c>
      <c r="AB18" s="90"/>
    </row>
    <row r="19" spans="1:33" x14ac:dyDescent="0.25">
      <c r="A19" s="24">
        <v>16</v>
      </c>
      <c r="B19" s="29">
        <v>4</v>
      </c>
      <c r="C19" s="29">
        <v>2</v>
      </c>
      <c r="D19" s="29">
        <v>4</v>
      </c>
      <c r="E19" s="29">
        <v>4</v>
      </c>
      <c r="F19" s="29">
        <v>2</v>
      </c>
      <c r="G19" s="29">
        <v>4</v>
      </c>
      <c r="H19" s="29">
        <v>4</v>
      </c>
      <c r="I19" s="29">
        <v>4</v>
      </c>
      <c r="J19" s="29">
        <v>4</v>
      </c>
      <c r="L19" s="46">
        <v>16</v>
      </c>
      <c r="M19" s="40">
        <v>6</v>
      </c>
      <c r="N19" s="40">
        <v>6</v>
      </c>
      <c r="O19" s="40">
        <v>6</v>
      </c>
      <c r="P19" s="40">
        <v>6</v>
      </c>
      <c r="Q19" s="40">
        <v>1.5</v>
      </c>
      <c r="R19" s="40">
        <v>6</v>
      </c>
      <c r="S19" s="40">
        <v>6</v>
      </c>
      <c r="T19" s="40">
        <v>1.5</v>
      </c>
      <c r="U19" s="40">
        <v>6</v>
      </c>
      <c r="V19" s="1">
        <f t="shared" si="0"/>
        <v>45</v>
      </c>
    </row>
    <row r="20" spans="1:33" x14ac:dyDescent="0.25">
      <c r="A20" s="24">
        <v>17</v>
      </c>
      <c r="B20" s="29">
        <v>4</v>
      </c>
      <c r="C20" s="29">
        <v>2</v>
      </c>
      <c r="D20" s="29">
        <v>2</v>
      </c>
      <c r="E20" s="29">
        <v>2</v>
      </c>
      <c r="F20" s="29">
        <v>4</v>
      </c>
      <c r="G20" s="29">
        <v>4</v>
      </c>
      <c r="H20" s="29">
        <v>4</v>
      </c>
      <c r="I20" s="29">
        <v>2</v>
      </c>
      <c r="J20" s="29">
        <v>4</v>
      </c>
      <c r="L20" s="46">
        <v>17</v>
      </c>
      <c r="M20" s="40">
        <v>6</v>
      </c>
      <c r="N20" s="40">
        <v>6</v>
      </c>
      <c r="O20" s="40">
        <v>6</v>
      </c>
      <c r="P20" s="40">
        <v>6</v>
      </c>
      <c r="Q20" s="40">
        <v>1.5</v>
      </c>
      <c r="R20" s="40">
        <v>6</v>
      </c>
      <c r="S20" s="40">
        <v>6</v>
      </c>
      <c r="T20" s="40">
        <v>1.5</v>
      </c>
      <c r="U20" s="40">
        <v>6</v>
      </c>
      <c r="V20" s="1">
        <f t="shared" si="0"/>
        <v>45</v>
      </c>
    </row>
    <row r="21" spans="1:33" x14ac:dyDescent="0.25">
      <c r="A21" s="24">
        <v>18</v>
      </c>
      <c r="B21" s="29">
        <v>5</v>
      </c>
      <c r="C21" s="29">
        <v>5</v>
      </c>
      <c r="D21" s="29">
        <v>5</v>
      </c>
      <c r="E21" s="29">
        <v>5</v>
      </c>
      <c r="F21" s="29">
        <v>4</v>
      </c>
      <c r="G21" s="29">
        <v>5</v>
      </c>
      <c r="H21" s="29">
        <v>5</v>
      </c>
      <c r="I21" s="29">
        <v>5</v>
      </c>
      <c r="J21" s="29">
        <v>4</v>
      </c>
      <c r="L21" s="46">
        <v>18</v>
      </c>
      <c r="M21" s="40">
        <v>7</v>
      </c>
      <c r="N21" s="40">
        <v>2.5</v>
      </c>
      <c r="O21" s="40">
        <v>7</v>
      </c>
      <c r="P21" s="40">
        <v>7</v>
      </c>
      <c r="Q21" s="40">
        <v>2.5</v>
      </c>
      <c r="R21" s="40">
        <v>2.5</v>
      </c>
      <c r="S21" s="40">
        <v>2.5</v>
      </c>
      <c r="T21" s="40">
        <v>7</v>
      </c>
      <c r="U21" s="40">
        <v>7</v>
      </c>
      <c r="V21" s="1">
        <f t="shared" si="0"/>
        <v>45</v>
      </c>
    </row>
    <row r="22" spans="1:33" x14ac:dyDescent="0.25">
      <c r="A22" s="24">
        <v>19</v>
      </c>
      <c r="B22" s="29">
        <v>2</v>
      </c>
      <c r="C22" s="29">
        <v>4</v>
      </c>
      <c r="D22" s="29">
        <v>4</v>
      </c>
      <c r="E22" s="29">
        <v>3</v>
      </c>
      <c r="F22" s="29">
        <v>2</v>
      </c>
      <c r="G22" s="29">
        <v>2</v>
      </c>
      <c r="H22" s="29">
        <v>2</v>
      </c>
      <c r="I22" s="29">
        <v>4</v>
      </c>
      <c r="J22" s="29">
        <v>2</v>
      </c>
      <c r="L22" s="46">
        <v>19</v>
      </c>
      <c r="M22" s="40">
        <v>6</v>
      </c>
      <c r="N22" s="40">
        <v>6</v>
      </c>
      <c r="O22" s="40">
        <v>1.5</v>
      </c>
      <c r="P22" s="40">
        <v>6</v>
      </c>
      <c r="Q22" s="40">
        <v>6</v>
      </c>
      <c r="R22" s="40">
        <v>6</v>
      </c>
      <c r="S22" s="40">
        <v>6</v>
      </c>
      <c r="T22" s="40">
        <v>1.5</v>
      </c>
      <c r="U22" s="40">
        <v>6</v>
      </c>
      <c r="V22" s="1">
        <f t="shared" si="0"/>
        <v>45</v>
      </c>
    </row>
    <row r="23" spans="1:33" x14ac:dyDescent="0.25">
      <c r="A23" s="24">
        <v>20</v>
      </c>
      <c r="B23" s="29">
        <v>4</v>
      </c>
      <c r="C23" s="29">
        <v>2</v>
      </c>
      <c r="D23" s="29">
        <v>3</v>
      </c>
      <c r="E23" s="29">
        <v>5</v>
      </c>
      <c r="F23" s="29">
        <v>3</v>
      </c>
      <c r="G23" s="29">
        <v>2</v>
      </c>
      <c r="H23" s="29">
        <v>1</v>
      </c>
      <c r="I23" s="29">
        <v>4</v>
      </c>
      <c r="J23" s="29">
        <v>4</v>
      </c>
      <c r="L23" s="46">
        <v>20</v>
      </c>
      <c r="M23" s="40">
        <v>3</v>
      </c>
      <c r="N23" s="40">
        <v>8</v>
      </c>
      <c r="O23" s="40">
        <v>3</v>
      </c>
      <c r="P23" s="40">
        <v>3</v>
      </c>
      <c r="Q23" s="40">
        <v>8</v>
      </c>
      <c r="R23" s="40">
        <v>8</v>
      </c>
      <c r="S23" s="40">
        <v>6</v>
      </c>
      <c r="T23" s="40">
        <v>3</v>
      </c>
      <c r="U23" s="40">
        <v>3</v>
      </c>
      <c r="V23" s="1">
        <f t="shared" si="0"/>
        <v>45</v>
      </c>
    </row>
    <row r="24" spans="1:33" x14ac:dyDescent="0.25">
      <c r="A24" s="24">
        <v>21</v>
      </c>
      <c r="B24" s="29">
        <v>4</v>
      </c>
      <c r="C24" s="29">
        <v>4</v>
      </c>
      <c r="D24" s="29">
        <v>3</v>
      </c>
      <c r="E24" s="29">
        <v>3</v>
      </c>
      <c r="F24" s="29">
        <v>3</v>
      </c>
      <c r="G24" s="29">
        <v>3</v>
      </c>
      <c r="H24" s="29">
        <v>4</v>
      </c>
      <c r="I24" s="29">
        <v>4</v>
      </c>
      <c r="J24" s="29">
        <v>3</v>
      </c>
      <c r="L24" s="46">
        <v>21</v>
      </c>
      <c r="M24" s="40">
        <v>1</v>
      </c>
      <c r="N24" s="40">
        <v>7</v>
      </c>
      <c r="O24" s="40">
        <v>7</v>
      </c>
      <c r="P24" s="40">
        <v>7</v>
      </c>
      <c r="Q24" s="40">
        <v>2.5</v>
      </c>
      <c r="R24" s="40">
        <v>4.5</v>
      </c>
      <c r="S24" s="40">
        <v>9</v>
      </c>
      <c r="T24" s="40">
        <v>4.5</v>
      </c>
      <c r="U24" s="40">
        <v>2.5</v>
      </c>
      <c r="V24" s="1">
        <f t="shared" si="0"/>
        <v>45</v>
      </c>
    </row>
    <row r="25" spans="1:33" x14ac:dyDescent="0.25">
      <c r="A25" s="24">
        <v>22</v>
      </c>
      <c r="B25" s="29">
        <v>5</v>
      </c>
      <c r="C25" s="29">
        <v>3</v>
      </c>
      <c r="D25" s="29">
        <v>4</v>
      </c>
      <c r="E25" s="29">
        <v>5</v>
      </c>
      <c r="F25" s="29">
        <v>3</v>
      </c>
      <c r="G25" s="29">
        <v>5</v>
      </c>
      <c r="H25" s="29">
        <v>4</v>
      </c>
      <c r="I25" s="29">
        <v>4</v>
      </c>
      <c r="J25" s="29">
        <v>5</v>
      </c>
      <c r="L25" s="46">
        <v>22</v>
      </c>
      <c r="M25" s="40">
        <v>7.5</v>
      </c>
      <c r="N25" s="40">
        <v>7.5</v>
      </c>
      <c r="O25" s="40">
        <v>3</v>
      </c>
      <c r="P25" s="40">
        <v>7.5</v>
      </c>
      <c r="Q25" s="40">
        <v>7.5</v>
      </c>
      <c r="R25" s="40">
        <v>3</v>
      </c>
      <c r="S25" s="40">
        <v>3</v>
      </c>
      <c r="T25" s="40">
        <v>3</v>
      </c>
      <c r="U25" s="40">
        <v>3</v>
      </c>
      <c r="V25" s="1">
        <f t="shared" si="0"/>
        <v>45</v>
      </c>
    </row>
    <row r="26" spans="1:33" x14ac:dyDescent="0.25">
      <c r="A26" s="24">
        <v>23</v>
      </c>
      <c r="B26" s="29">
        <v>2</v>
      </c>
      <c r="C26" s="29">
        <v>2</v>
      </c>
      <c r="D26" s="29">
        <v>4</v>
      </c>
      <c r="E26" s="29">
        <v>2</v>
      </c>
      <c r="F26" s="29">
        <v>2</v>
      </c>
      <c r="G26" s="29">
        <v>4</v>
      </c>
      <c r="H26" s="29">
        <v>2</v>
      </c>
      <c r="I26" s="29">
        <v>2</v>
      </c>
      <c r="J26" s="29">
        <v>2</v>
      </c>
      <c r="L26" s="46">
        <v>23</v>
      </c>
      <c r="M26" s="40">
        <v>4</v>
      </c>
      <c r="N26" s="40">
        <v>4</v>
      </c>
      <c r="O26" s="40">
        <v>7.5</v>
      </c>
      <c r="P26" s="40">
        <v>7.5</v>
      </c>
      <c r="Q26" s="40">
        <v>1.5</v>
      </c>
      <c r="R26" s="40">
        <v>4</v>
      </c>
      <c r="S26" s="40">
        <v>7.5</v>
      </c>
      <c r="T26" s="40">
        <v>1.5</v>
      </c>
      <c r="U26" s="40">
        <v>7.5</v>
      </c>
      <c r="V26" s="1">
        <f t="shared" si="0"/>
        <v>45</v>
      </c>
    </row>
    <row r="27" spans="1:33" x14ac:dyDescent="0.25">
      <c r="A27" s="24">
        <v>24</v>
      </c>
      <c r="B27" s="29">
        <v>4</v>
      </c>
      <c r="C27" s="29">
        <v>3</v>
      </c>
      <c r="D27" s="29">
        <v>5</v>
      </c>
      <c r="E27" s="29">
        <v>3</v>
      </c>
      <c r="F27" s="29">
        <v>4</v>
      </c>
      <c r="G27" s="29">
        <v>5</v>
      </c>
      <c r="H27" s="29">
        <v>3</v>
      </c>
      <c r="I27" s="29">
        <v>3</v>
      </c>
      <c r="J27" s="29">
        <v>4</v>
      </c>
      <c r="L27" s="46">
        <v>24</v>
      </c>
      <c r="M27" s="40">
        <v>4</v>
      </c>
      <c r="N27" s="40">
        <v>4</v>
      </c>
      <c r="O27" s="40">
        <v>4</v>
      </c>
      <c r="P27" s="40">
        <v>4</v>
      </c>
      <c r="Q27" s="40">
        <v>4</v>
      </c>
      <c r="R27" s="40">
        <v>8.5</v>
      </c>
      <c r="S27" s="40">
        <v>4</v>
      </c>
      <c r="T27" s="40">
        <v>4</v>
      </c>
      <c r="U27" s="40">
        <v>8.5</v>
      </c>
      <c r="V27" s="1">
        <f t="shared" si="0"/>
        <v>45</v>
      </c>
    </row>
    <row r="28" spans="1:33" x14ac:dyDescent="0.25">
      <c r="A28" s="24">
        <v>25</v>
      </c>
      <c r="B28" s="29">
        <v>5</v>
      </c>
      <c r="C28" s="29">
        <v>4</v>
      </c>
      <c r="D28" s="29">
        <v>5</v>
      </c>
      <c r="E28" s="29">
        <v>5</v>
      </c>
      <c r="F28" s="29">
        <v>4</v>
      </c>
      <c r="G28" s="29">
        <v>4</v>
      </c>
      <c r="H28" s="29">
        <v>4</v>
      </c>
      <c r="I28" s="29">
        <v>4</v>
      </c>
      <c r="J28" s="29">
        <v>5</v>
      </c>
      <c r="L28" s="46">
        <v>25</v>
      </c>
      <c r="M28" s="40">
        <v>2.5</v>
      </c>
      <c r="N28" s="40">
        <v>2.5</v>
      </c>
      <c r="O28" s="40">
        <v>6</v>
      </c>
      <c r="P28" s="40">
        <v>6</v>
      </c>
      <c r="Q28" s="40">
        <v>2.5</v>
      </c>
      <c r="R28" s="40">
        <v>8.5</v>
      </c>
      <c r="S28" s="40">
        <v>2.5</v>
      </c>
      <c r="T28" s="40">
        <v>6</v>
      </c>
      <c r="U28" s="40">
        <v>8.5</v>
      </c>
      <c r="V28" s="1">
        <f t="shared" si="0"/>
        <v>45</v>
      </c>
    </row>
    <row r="29" spans="1:33" x14ac:dyDescent="0.25">
      <c r="A29" s="24">
        <v>26</v>
      </c>
      <c r="B29" s="29">
        <v>2</v>
      </c>
      <c r="C29" s="29">
        <v>4</v>
      </c>
      <c r="D29" s="29">
        <v>4</v>
      </c>
      <c r="E29" s="29">
        <v>2</v>
      </c>
      <c r="F29" s="29">
        <v>2</v>
      </c>
      <c r="G29" s="29">
        <v>4</v>
      </c>
      <c r="H29" s="29">
        <v>4</v>
      </c>
      <c r="I29" s="29">
        <v>2</v>
      </c>
      <c r="J29" s="29">
        <v>2</v>
      </c>
      <c r="L29" s="46">
        <v>26</v>
      </c>
      <c r="M29" s="40">
        <v>3.5</v>
      </c>
      <c r="N29" s="40">
        <v>3.5</v>
      </c>
      <c r="O29" s="40">
        <v>8</v>
      </c>
      <c r="P29" s="40">
        <v>8</v>
      </c>
      <c r="Q29" s="40">
        <v>3.5</v>
      </c>
      <c r="R29" s="40">
        <v>8</v>
      </c>
      <c r="S29" s="40">
        <v>3.5</v>
      </c>
      <c r="T29" s="40">
        <v>3.5</v>
      </c>
      <c r="U29" s="40">
        <v>3.5</v>
      </c>
      <c r="V29" s="1">
        <f t="shared" si="0"/>
        <v>45</v>
      </c>
    </row>
    <row r="30" spans="1:33" x14ac:dyDescent="0.25">
      <c r="A30" s="24">
        <v>27</v>
      </c>
      <c r="B30" s="29">
        <v>4</v>
      </c>
      <c r="C30" s="29">
        <v>4</v>
      </c>
      <c r="D30" s="29">
        <v>4</v>
      </c>
      <c r="E30" s="29">
        <v>5</v>
      </c>
      <c r="F30" s="29">
        <v>5</v>
      </c>
      <c r="G30" s="29">
        <v>4</v>
      </c>
      <c r="H30" s="29">
        <v>4</v>
      </c>
      <c r="I30" s="29">
        <v>4</v>
      </c>
      <c r="J30" s="29">
        <v>4</v>
      </c>
      <c r="L30" s="46">
        <v>27</v>
      </c>
      <c r="M30" s="40">
        <v>7.5</v>
      </c>
      <c r="N30" s="40">
        <v>3</v>
      </c>
      <c r="O30" s="40">
        <v>3</v>
      </c>
      <c r="P30" s="40">
        <v>3</v>
      </c>
      <c r="Q30" s="40">
        <v>7.5</v>
      </c>
      <c r="R30" s="40">
        <v>7.5</v>
      </c>
      <c r="S30" s="40">
        <v>3</v>
      </c>
      <c r="T30" s="40">
        <v>3</v>
      </c>
      <c r="U30" s="40">
        <v>7.5</v>
      </c>
      <c r="V30" s="1">
        <f t="shared" si="0"/>
        <v>45</v>
      </c>
    </row>
    <row r="31" spans="1:33" x14ac:dyDescent="0.25">
      <c r="A31" s="24">
        <v>28</v>
      </c>
      <c r="B31" s="29">
        <v>4</v>
      </c>
      <c r="C31" s="29">
        <v>4</v>
      </c>
      <c r="D31" s="29">
        <v>4</v>
      </c>
      <c r="E31" s="29">
        <v>4</v>
      </c>
      <c r="F31" s="29">
        <v>4</v>
      </c>
      <c r="G31" s="29">
        <v>4</v>
      </c>
      <c r="H31" s="29">
        <v>4</v>
      </c>
      <c r="I31" s="29">
        <v>4</v>
      </c>
      <c r="J31" s="29">
        <v>4</v>
      </c>
      <c r="L31" s="46">
        <v>28</v>
      </c>
      <c r="M31" s="40">
        <v>5</v>
      </c>
      <c r="N31" s="40">
        <v>5</v>
      </c>
      <c r="O31" s="40">
        <v>5</v>
      </c>
      <c r="P31" s="40">
        <v>5</v>
      </c>
      <c r="Q31" s="40">
        <v>5</v>
      </c>
      <c r="R31" s="40">
        <v>5</v>
      </c>
      <c r="S31" s="40">
        <v>5</v>
      </c>
      <c r="T31" s="40">
        <v>5</v>
      </c>
      <c r="U31" s="40">
        <v>5</v>
      </c>
      <c r="V31" s="1">
        <f t="shared" si="0"/>
        <v>45</v>
      </c>
    </row>
    <row r="32" spans="1:33" x14ac:dyDescent="0.25">
      <c r="A32" s="24">
        <v>29</v>
      </c>
      <c r="B32" s="29">
        <v>4</v>
      </c>
      <c r="C32" s="29">
        <v>4</v>
      </c>
      <c r="D32" s="29">
        <v>4</v>
      </c>
      <c r="E32" s="29">
        <v>4</v>
      </c>
      <c r="F32" s="29">
        <v>1</v>
      </c>
      <c r="G32" s="29">
        <v>4</v>
      </c>
      <c r="H32" s="29">
        <v>4</v>
      </c>
      <c r="I32" s="29">
        <v>4</v>
      </c>
      <c r="J32" s="29">
        <v>2</v>
      </c>
      <c r="L32" s="46">
        <v>29</v>
      </c>
      <c r="M32" s="40">
        <v>6</v>
      </c>
      <c r="N32" s="40">
        <v>6</v>
      </c>
      <c r="O32" s="40">
        <v>2</v>
      </c>
      <c r="P32" s="40">
        <v>6</v>
      </c>
      <c r="Q32" s="40">
        <v>6</v>
      </c>
      <c r="R32" s="40">
        <v>6</v>
      </c>
      <c r="S32" s="40">
        <v>6</v>
      </c>
      <c r="T32" s="40">
        <v>1</v>
      </c>
      <c r="U32" s="40">
        <v>6</v>
      </c>
      <c r="V32" s="1">
        <f t="shared" si="0"/>
        <v>45</v>
      </c>
    </row>
    <row r="33" spans="1:38" x14ac:dyDescent="0.25">
      <c r="A33" s="24">
        <v>30</v>
      </c>
      <c r="B33" s="29">
        <v>4</v>
      </c>
      <c r="C33" s="29">
        <v>4</v>
      </c>
      <c r="D33" s="29">
        <v>4</v>
      </c>
      <c r="E33" s="29">
        <v>4</v>
      </c>
      <c r="F33" s="29">
        <v>4</v>
      </c>
      <c r="G33" s="29">
        <v>1</v>
      </c>
      <c r="H33" s="29">
        <v>4</v>
      </c>
      <c r="I33" s="29">
        <v>1</v>
      </c>
      <c r="J33" s="29">
        <v>1</v>
      </c>
      <c r="L33" s="46">
        <v>30</v>
      </c>
      <c r="M33" s="40">
        <v>6.5</v>
      </c>
      <c r="N33" s="40">
        <v>2</v>
      </c>
      <c r="O33" s="40">
        <v>2</v>
      </c>
      <c r="P33" s="40">
        <v>6.5</v>
      </c>
      <c r="Q33" s="40">
        <v>6.5</v>
      </c>
      <c r="R33" s="40">
        <v>6.5</v>
      </c>
      <c r="S33" s="40">
        <v>6.5</v>
      </c>
      <c r="T33" s="40">
        <v>6.5</v>
      </c>
      <c r="U33" s="40">
        <v>2</v>
      </c>
      <c r="V33" s="1">
        <f t="shared" si="0"/>
        <v>45</v>
      </c>
    </row>
    <row r="34" spans="1:38" x14ac:dyDescent="0.25">
      <c r="A34" s="43" t="s">
        <v>68</v>
      </c>
      <c r="B34" s="39">
        <f>SUM(B4:B33)</f>
        <v>120</v>
      </c>
      <c r="C34" s="39">
        <f t="shared" ref="C34:J34" si="1">SUM(C4:C33)</f>
        <v>107</v>
      </c>
      <c r="D34" s="39">
        <f t="shared" si="1"/>
        <v>116</v>
      </c>
      <c r="E34" s="39">
        <f t="shared" si="1"/>
        <v>109</v>
      </c>
      <c r="F34" s="39">
        <f t="shared" si="1"/>
        <v>96</v>
      </c>
      <c r="G34" s="39">
        <f t="shared" si="1"/>
        <v>120</v>
      </c>
      <c r="H34" s="39">
        <f t="shared" si="1"/>
        <v>104</v>
      </c>
      <c r="I34" s="39">
        <f t="shared" si="1"/>
        <v>98</v>
      </c>
      <c r="J34" s="39">
        <f t="shared" si="1"/>
        <v>107</v>
      </c>
      <c r="L34" s="43" t="s">
        <v>68</v>
      </c>
      <c r="M34" s="39">
        <f>SUM(M4:M33)</f>
        <v>137</v>
      </c>
      <c r="N34" s="39">
        <f t="shared" ref="N34:U34" si="2">SUM(N4:N33)</f>
        <v>133</v>
      </c>
      <c r="O34" s="39">
        <f t="shared" si="2"/>
        <v>147.5</v>
      </c>
      <c r="P34" s="39">
        <f t="shared" si="2"/>
        <v>181</v>
      </c>
      <c r="Q34" s="39">
        <f t="shared" si="2"/>
        <v>138.5</v>
      </c>
      <c r="R34" s="39">
        <f t="shared" si="2"/>
        <v>170.5</v>
      </c>
      <c r="S34" s="39">
        <f t="shared" si="2"/>
        <v>148</v>
      </c>
      <c r="T34" s="39">
        <f t="shared" si="2"/>
        <v>115</v>
      </c>
      <c r="U34" s="39">
        <f t="shared" si="2"/>
        <v>177.5</v>
      </c>
    </row>
    <row r="35" spans="1:38" x14ac:dyDescent="0.25">
      <c r="A35" s="44" t="s">
        <v>69</v>
      </c>
      <c r="B35" s="45">
        <f>AVERAGE(B4:B33)</f>
        <v>4</v>
      </c>
      <c r="C35" s="45">
        <f t="shared" ref="C35:J35" si="3">AVERAGE(C4:C33)</f>
        <v>3.5666666666666669</v>
      </c>
      <c r="D35" s="45">
        <f t="shared" si="3"/>
        <v>3.8666666666666667</v>
      </c>
      <c r="E35" s="45">
        <f t="shared" si="3"/>
        <v>3.6333333333333333</v>
      </c>
      <c r="F35" s="45">
        <f t="shared" si="3"/>
        <v>3.2</v>
      </c>
      <c r="G35" s="45">
        <f t="shared" si="3"/>
        <v>4</v>
      </c>
      <c r="H35" s="45">
        <f t="shared" si="3"/>
        <v>3.4666666666666668</v>
      </c>
      <c r="I35" s="45">
        <f t="shared" si="3"/>
        <v>3.2666666666666666</v>
      </c>
      <c r="J35" s="45">
        <f t="shared" si="3"/>
        <v>3.5666666666666669</v>
      </c>
      <c r="L35" s="44" t="s">
        <v>69</v>
      </c>
      <c r="M35" s="45">
        <f>AVERAGE(M4:M33)</f>
        <v>4.5666666666666664</v>
      </c>
      <c r="N35" s="45">
        <f t="shared" ref="N35:U35" si="4">AVERAGE(N4:N33)</f>
        <v>4.4333333333333336</v>
      </c>
      <c r="O35" s="45">
        <f t="shared" si="4"/>
        <v>4.916666666666667</v>
      </c>
      <c r="P35" s="45">
        <f t="shared" si="4"/>
        <v>6.0333333333333332</v>
      </c>
      <c r="Q35" s="45">
        <f t="shared" si="4"/>
        <v>4.6166666666666663</v>
      </c>
      <c r="R35" s="45">
        <f t="shared" si="4"/>
        <v>5.6833333333333336</v>
      </c>
      <c r="S35" s="45">
        <f t="shared" si="4"/>
        <v>4.9333333333333336</v>
      </c>
      <c r="T35" s="45">
        <f t="shared" si="4"/>
        <v>3.8333333333333335</v>
      </c>
      <c r="U35" s="45">
        <f t="shared" si="4"/>
        <v>5.916666666666667</v>
      </c>
    </row>
    <row r="37" spans="1:38" x14ac:dyDescent="0.25">
      <c r="A37" s="99" t="s">
        <v>45</v>
      </c>
      <c r="B37" s="99" t="s">
        <v>65</v>
      </c>
      <c r="C37" s="99"/>
      <c r="D37" s="99"/>
      <c r="E37" s="99"/>
      <c r="F37" s="99"/>
      <c r="G37" s="99"/>
      <c r="H37" s="99"/>
      <c r="I37" s="99"/>
      <c r="J37" s="99"/>
      <c r="L37" s="99" t="s">
        <v>45</v>
      </c>
      <c r="M37" s="99" t="s">
        <v>66</v>
      </c>
      <c r="N37" s="99"/>
      <c r="O37" s="99"/>
      <c r="P37" s="99"/>
      <c r="Q37" s="99"/>
      <c r="R37" s="99"/>
      <c r="S37" s="99"/>
      <c r="T37" s="99"/>
      <c r="U37" s="99"/>
    </row>
    <row r="38" spans="1:38" x14ac:dyDescent="0.25">
      <c r="A38" s="99"/>
      <c r="B38" s="46">
        <v>813</v>
      </c>
      <c r="C38" s="46">
        <v>341</v>
      </c>
      <c r="D38" s="46">
        <v>792</v>
      </c>
      <c r="E38" s="46">
        <v>627</v>
      </c>
      <c r="F38" s="46">
        <v>303</v>
      </c>
      <c r="G38" s="46">
        <v>322</v>
      </c>
      <c r="H38" s="46">
        <v>852</v>
      </c>
      <c r="I38" s="46">
        <v>255</v>
      </c>
      <c r="J38" s="46">
        <v>942</v>
      </c>
      <c r="L38" s="99"/>
      <c r="M38" s="46" t="s">
        <v>8</v>
      </c>
      <c r="N38" s="46" t="s">
        <v>13</v>
      </c>
      <c r="O38" s="46" t="s">
        <v>17</v>
      </c>
      <c r="P38" s="46" t="s">
        <v>10</v>
      </c>
      <c r="Q38" s="46" t="s">
        <v>15</v>
      </c>
      <c r="R38" s="46" t="s">
        <v>18</v>
      </c>
      <c r="S38" s="46" t="s">
        <v>12</v>
      </c>
      <c r="T38" s="46" t="s">
        <v>16</v>
      </c>
      <c r="U38" s="46" t="s">
        <v>26</v>
      </c>
    </row>
    <row r="39" spans="1:38" x14ac:dyDescent="0.25">
      <c r="A39" s="46">
        <v>1</v>
      </c>
      <c r="B39" s="40">
        <v>4</v>
      </c>
      <c r="C39" s="40">
        <v>2</v>
      </c>
      <c r="D39" s="40">
        <v>4</v>
      </c>
      <c r="E39" s="40">
        <v>5</v>
      </c>
      <c r="F39" s="40">
        <v>4</v>
      </c>
      <c r="G39" s="40">
        <v>2</v>
      </c>
      <c r="H39" s="40">
        <v>4</v>
      </c>
      <c r="I39" s="40">
        <v>4</v>
      </c>
      <c r="J39" s="40">
        <v>2</v>
      </c>
      <c r="L39" s="46">
        <v>1</v>
      </c>
      <c r="M39" s="40">
        <v>6</v>
      </c>
      <c r="N39" s="40">
        <v>2</v>
      </c>
      <c r="O39" s="40">
        <v>6</v>
      </c>
      <c r="P39" s="40">
        <v>9</v>
      </c>
      <c r="Q39" s="40">
        <v>6</v>
      </c>
      <c r="R39" s="40">
        <v>2</v>
      </c>
      <c r="S39" s="40">
        <v>6</v>
      </c>
      <c r="T39" s="40">
        <v>6</v>
      </c>
      <c r="U39" s="40">
        <v>2</v>
      </c>
      <c r="V39" s="1">
        <f>SUM(M39:U39)</f>
        <v>45</v>
      </c>
      <c r="Z39" s="1" t="s">
        <v>7</v>
      </c>
      <c r="AA39" s="1">
        <f>(12/((30*9)*(9+1))*SUMSQ(M69:U69)-3*(30)*(9+1))</f>
        <v>6.6622222222222263</v>
      </c>
    </row>
    <row r="40" spans="1:38" x14ac:dyDescent="0.25">
      <c r="A40" s="46">
        <v>2</v>
      </c>
      <c r="B40" s="40">
        <v>5</v>
      </c>
      <c r="C40" s="40">
        <v>4</v>
      </c>
      <c r="D40" s="40">
        <v>4</v>
      </c>
      <c r="E40" s="40">
        <v>2</v>
      </c>
      <c r="F40" s="40">
        <v>4</v>
      </c>
      <c r="G40" s="40">
        <v>4</v>
      </c>
      <c r="H40" s="40">
        <v>4</v>
      </c>
      <c r="I40" s="40">
        <v>4</v>
      </c>
      <c r="J40" s="40">
        <v>4</v>
      </c>
      <c r="L40" s="46">
        <v>2</v>
      </c>
      <c r="M40" s="40">
        <v>9</v>
      </c>
      <c r="N40" s="40">
        <v>5</v>
      </c>
      <c r="O40" s="40">
        <v>5</v>
      </c>
      <c r="P40" s="40">
        <v>1</v>
      </c>
      <c r="Q40" s="40">
        <v>5</v>
      </c>
      <c r="R40" s="40">
        <v>5</v>
      </c>
      <c r="S40" s="40">
        <v>5</v>
      </c>
      <c r="T40" s="40">
        <v>5</v>
      </c>
      <c r="U40" s="40">
        <v>5</v>
      </c>
      <c r="V40" s="1">
        <f t="shared" ref="V40:V68" si="5">SUM(M40:U40)</f>
        <v>45</v>
      </c>
      <c r="Z40" s="1" t="s">
        <v>70</v>
      </c>
      <c r="AA40" s="1">
        <f>_xlfn.CHISQ.INV.RT(0.05,8)</f>
        <v>15.507313055865453</v>
      </c>
    </row>
    <row r="41" spans="1:38" x14ac:dyDescent="0.25">
      <c r="A41" s="46">
        <v>3</v>
      </c>
      <c r="B41" s="40">
        <v>4</v>
      </c>
      <c r="C41" s="40">
        <v>4</v>
      </c>
      <c r="D41" s="40">
        <v>4</v>
      </c>
      <c r="E41" s="40">
        <v>4</v>
      </c>
      <c r="F41" s="40">
        <v>2</v>
      </c>
      <c r="G41" s="40">
        <v>4</v>
      </c>
      <c r="H41" s="40">
        <v>2</v>
      </c>
      <c r="I41" s="40">
        <v>4</v>
      </c>
      <c r="J41" s="40">
        <v>4</v>
      </c>
      <c r="L41" s="46">
        <v>3</v>
      </c>
      <c r="M41" s="40">
        <v>6.5</v>
      </c>
      <c r="N41" s="40">
        <v>6.5</v>
      </c>
      <c r="O41" s="40">
        <v>2</v>
      </c>
      <c r="P41" s="40">
        <v>6.5</v>
      </c>
      <c r="Q41" s="40">
        <v>6.5</v>
      </c>
      <c r="R41" s="40">
        <v>6.5</v>
      </c>
      <c r="S41" s="40">
        <v>2</v>
      </c>
      <c r="T41" s="40">
        <v>6.5</v>
      </c>
      <c r="U41" s="40">
        <v>2</v>
      </c>
      <c r="V41" s="1">
        <f t="shared" si="5"/>
        <v>45</v>
      </c>
    </row>
    <row r="42" spans="1:38" x14ac:dyDescent="0.25">
      <c r="A42" s="46">
        <v>4</v>
      </c>
      <c r="B42" s="40">
        <v>4</v>
      </c>
      <c r="C42" s="40">
        <v>5</v>
      </c>
      <c r="D42" s="40">
        <v>5</v>
      </c>
      <c r="E42" s="40">
        <v>5</v>
      </c>
      <c r="F42" s="40">
        <v>5</v>
      </c>
      <c r="G42" s="40">
        <v>4</v>
      </c>
      <c r="H42" s="40">
        <v>4</v>
      </c>
      <c r="I42" s="40">
        <v>5</v>
      </c>
      <c r="J42" s="40">
        <v>5</v>
      </c>
      <c r="L42" s="46">
        <v>4</v>
      </c>
      <c r="M42" s="40">
        <v>2.5</v>
      </c>
      <c r="N42" s="40">
        <v>7</v>
      </c>
      <c r="O42" s="40">
        <v>7</v>
      </c>
      <c r="P42" s="40">
        <v>7</v>
      </c>
      <c r="Q42" s="40">
        <v>7</v>
      </c>
      <c r="R42" s="40">
        <v>2.5</v>
      </c>
      <c r="S42" s="40">
        <v>2.5</v>
      </c>
      <c r="T42" s="40">
        <v>7</v>
      </c>
      <c r="U42" s="40">
        <v>2.5</v>
      </c>
      <c r="V42" s="1">
        <f t="shared" si="5"/>
        <v>45</v>
      </c>
      <c r="Z42" s="1" t="s">
        <v>71</v>
      </c>
      <c r="AA42" s="1" t="s">
        <v>74</v>
      </c>
    </row>
    <row r="43" spans="1:38" x14ac:dyDescent="0.25">
      <c r="A43" s="46">
        <v>5</v>
      </c>
      <c r="B43" s="40">
        <v>4</v>
      </c>
      <c r="C43" s="40">
        <v>2</v>
      </c>
      <c r="D43" s="40">
        <v>5</v>
      </c>
      <c r="E43" s="40">
        <v>2</v>
      </c>
      <c r="F43" s="40">
        <v>4</v>
      </c>
      <c r="G43" s="40">
        <v>4</v>
      </c>
      <c r="H43" s="40">
        <v>5</v>
      </c>
      <c r="I43" s="40">
        <v>2</v>
      </c>
      <c r="J43" s="40">
        <v>2</v>
      </c>
      <c r="L43" s="46">
        <v>5</v>
      </c>
      <c r="M43" s="40">
        <v>6</v>
      </c>
      <c r="N43" s="40">
        <v>2.5</v>
      </c>
      <c r="O43" s="40">
        <v>8.5</v>
      </c>
      <c r="P43" s="40">
        <v>2.5</v>
      </c>
      <c r="Q43" s="40">
        <v>6</v>
      </c>
      <c r="R43" s="40">
        <v>6</v>
      </c>
      <c r="S43" s="40">
        <v>8.5</v>
      </c>
      <c r="T43" s="40">
        <v>2.5</v>
      </c>
      <c r="U43" s="40">
        <v>2.5</v>
      </c>
      <c r="V43" s="1">
        <f t="shared" si="5"/>
        <v>45</v>
      </c>
    </row>
    <row r="44" spans="1:38" ht="16.5" thickBot="1" x14ac:dyDescent="0.3">
      <c r="A44" s="46">
        <v>6</v>
      </c>
      <c r="B44" s="40">
        <v>4</v>
      </c>
      <c r="C44" s="40">
        <v>4</v>
      </c>
      <c r="D44" s="40">
        <v>4</v>
      </c>
      <c r="E44" s="40">
        <v>5</v>
      </c>
      <c r="F44" s="40">
        <v>4</v>
      </c>
      <c r="G44" s="40">
        <v>4</v>
      </c>
      <c r="H44" s="40">
        <v>5</v>
      </c>
      <c r="I44" s="40">
        <v>5</v>
      </c>
      <c r="J44" s="40">
        <v>5</v>
      </c>
      <c r="L44" s="46">
        <v>6</v>
      </c>
      <c r="M44" s="40">
        <v>3</v>
      </c>
      <c r="N44" s="40">
        <v>3</v>
      </c>
      <c r="O44" s="40">
        <v>3</v>
      </c>
      <c r="P44" s="40">
        <v>7.5</v>
      </c>
      <c r="Q44" s="40">
        <v>3</v>
      </c>
      <c r="R44" s="40">
        <v>3</v>
      </c>
      <c r="S44" s="40">
        <v>7.5</v>
      </c>
      <c r="T44" s="40">
        <v>7.5</v>
      </c>
      <c r="U44" s="40">
        <v>7.5</v>
      </c>
      <c r="V44" s="1">
        <f t="shared" si="5"/>
        <v>45</v>
      </c>
      <c r="Z44" s="1" t="s">
        <v>0</v>
      </c>
      <c r="AA44" s="1" t="s">
        <v>49</v>
      </c>
      <c r="AB44" s="1" t="s">
        <v>72</v>
      </c>
    </row>
    <row r="45" spans="1:38" x14ac:dyDescent="0.25">
      <c r="A45" s="46">
        <v>7</v>
      </c>
      <c r="B45" s="40">
        <v>5</v>
      </c>
      <c r="C45" s="40">
        <v>4</v>
      </c>
      <c r="D45" s="40">
        <v>4</v>
      </c>
      <c r="E45" s="40">
        <v>2</v>
      </c>
      <c r="F45" s="40">
        <v>4</v>
      </c>
      <c r="G45" s="40">
        <v>4</v>
      </c>
      <c r="H45" s="40">
        <v>4</v>
      </c>
      <c r="I45" s="40">
        <v>4</v>
      </c>
      <c r="J45" s="40">
        <v>4</v>
      </c>
      <c r="L45" s="46">
        <v>7</v>
      </c>
      <c r="M45" s="40">
        <v>9</v>
      </c>
      <c r="N45" s="40">
        <v>5</v>
      </c>
      <c r="O45" s="40">
        <v>5</v>
      </c>
      <c r="P45" s="40">
        <v>1</v>
      </c>
      <c r="Q45" s="40">
        <v>5</v>
      </c>
      <c r="R45" s="40">
        <v>5</v>
      </c>
      <c r="S45" s="40">
        <v>5</v>
      </c>
      <c r="T45" s="40">
        <v>5</v>
      </c>
      <c r="U45" s="40">
        <v>5</v>
      </c>
      <c r="V45" s="1">
        <f t="shared" si="5"/>
        <v>45</v>
      </c>
      <c r="Z45" s="65" t="s">
        <v>147</v>
      </c>
      <c r="AA45" s="6">
        <f>H70</f>
        <v>3.4</v>
      </c>
      <c r="AB45" s="1">
        <f>M69</f>
        <v>174.5</v>
      </c>
      <c r="AG45" s="1">
        <f>((30*9)*(9+1))</f>
        <v>2700</v>
      </c>
      <c r="AL45" s="1">
        <f>((12*AG47)/AG45)</f>
        <v>906.66222222222223</v>
      </c>
    </row>
    <row r="46" spans="1:38" x14ac:dyDescent="0.25">
      <c r="A46" s="46">
        <v>8</v>
      </c>
      <c r="B46" s="40">
        <v>2</v>
      </c>
      <c r="C46" s="40">
        <v>1</v>
      </c>
      <c r="D46" s="40">
        <v>4</v>
      </c>
      <c r="E46" s="40">
        <v>4</v>
      </c>
      <c r="F46" s="40">
        <v>5</v>
      </c>
      <c r="G46" s="40">
        <v>4</v>
      </c>
      <c r="H46" s="40">
        <v>2</v>
      </c>
      <c r="I46" s="40">
        <v>4</v>
      </c>
      <c r="J46" s="40">
        <v>5</v>
      </c>
      <c r="L46" s="46">
        <v>8</v>
      </c>
      <c r="M46" s="40">
        <v>2.5</v>
      </c>
      <c r="N46" s="40">
        <v>1</v>
      </c>
      <c r="O46" s="40">
        <v>5.5</v>
      </c>
      <c r="P46" s="40">
        <v>5.5</v>
      </c>
      <c r="Q46" s="40">
        <v>8.5</v>
      </c>
      <c r="R46" s="40">
        <v>5.5</v>
      </c>
      <c r="S46" s="40">
        <v>2.5</v>
      </c>
      <c r="T46" s="40">
        <v>5.5</v>
      </c>
      <c r="U46" s="40">
        <v>8.5</v>
      </c>
      <c r="V46" s="1">
        <f t="shared" si="5"/>
        <v>45</v>
      </c>
      <c r="Z46" s="66" t="s">
        <v>139</v>
      </c>
      <c r="AA46" s="6">
        <f>I70</f>
        <v>3.6333333333333333</v>
      </c>
      <c r="AB46" s="1">
        <f>N69</f>
        <v>140</v>
      </c>
    </row>
    <row r="47" spans="1:38" x14ac:dyDescent="0.25">
      <c r="A47" s="46">
        <v>9</v>
      </c>
      <c r="B47" s="40">
        <v>5</v>
      </c>
      <c r="C47" s="40">
        <v>4</v>
      </c>
      <c r="D47" s="40">
        <v>4</v>
      </c>
      <c r="E47" s="40">
        <v>2</v>
      </c>
      <c r="F47" s="40">
        <v>5</v>
      </c>
      <c r="G47" s="40">
        <v>4</v>
      </c>
      <c r="H47" s="40">
        <v>4</v>
      </c>
      <c r="I47" s="40">
        <v>4</v>
      </c>
      <c r="J47" s="40">
        <v>5</v>
      </c>
      <c r="L47" s="46">
        <v>9</v>
      </c>
      <c r="M47" s="40">
        <v>8</v>
      </c>
      <c r="N47" s="40">
        <v>4</v>
      </c>
      <c r="O47" s="40">
        <v>4</v>
      </c>
      <c r="P47" s="40">
        <v>1</v>
      </c>
      <c r="Q47" s="40">
        <v>8</v>
      </c>
      <c r="R47" s="40">
        <v>4</v>
      </c>
      <c r="S47" s="40">
        <v>4</v>
      </c>
      <c r="T47" s="40">
        <v>4</v>
      </c>
      <c r="U47" s="40">
        <v>8</v>
      </c>
      <c r="V47" s="1">
        <f t="shared" si="5"/>
        <v>45</v>
      </c>
      <c r="Z47" s="66" t="s">
        <v>140</v>
      </c>
      <c r="AA47" s="6">
        <f>J70</f>
        <v>3.7666666666666666</v>
      </c>
      <c r="AB47" s="1">
        <f>O69</f>
        <v>139.5</v>
      </c>
      <c r="AG47" s="1">
        <f>SUMSQ(AB45:AB53)</f>
        <v>203999</v>
      </c>
    </row>
    <row r="48" spans="1:38" x14ac:dyDescent="0.25">
      <c r="A48" s="46">
        <v>10</v>
      </c>
      <c r="B48" s="40">
        <v>4</v>
      </c>
      <c r="C48" s="40">
        <v>4</v>
      </c>
      <c r="D48" s="40">
        <v>5</v>
      </c>
      <c r="E48" s="40">
        <v>4</v>
      </c>
      <c r="F48" s="40">
        <v>4</v>
      </c>
      <c r="G48" s="40">
        <v>5</v>
      </c>
      <c r="H48" s="40">
        <v>4</v>
      </c>
      <c r="I48" s="40">
        <v>4</v>
      </c>
      <c r="J48" s="40">
        <v>5</v>
      </c>
      <c r="L48" s="46">
        <v>10</v>
      </c>
      <c r="M48" s="40">
        <v>3.5</v>
      </c>
      <c r="N48" s="40">
        <v>3.5</v>
      </c>
      <c r="O48" s="40">
        <v>8</v>
      </c>
      <c r="P48" s="40">
        <v>3.5</v>
      </c>
      <c r="Q48" s="40">
        <v>3.5</v>
      </c>
      <c r="R48" s="40">
        <v>8</v>
      </c>
      <c r="S48" s="40">
        <v>3.5</v>
      </c>
      <c r="T48" s="40">
        <v>3.5</v>
      </c>
      <c r="U48" s="40">
        <v>8</v>
      </c>
      <c r="V48" s="1">
        <f t="shared" si="5"/>
        <v>45</v>
      </c>
      <c r="Z48" s="66" t="s">
        <v>141</v>
      </c>
      <c r="AA48" s="6">
        <f>B70</f>
        <v>3.9666666666666668</v>
      </c>
      <c r="AB48" s="1">
        <f>P69</f>
        <v>167</v>
      </c>
      <c r="AE48" s="6"/>
    </row>
    <row r="49" spans="1:38" x14ac:dyDescent="0.25">
      <c r="A49" s="46">
        <v>11</v>
      </c>
      <c r="B49" s="40">
        <v>4</v>
      </c>
      <c r="C49" s="40">
        <v>4</v>
      </c>
      <c r="D49" s="40">
        <v>4</v>
      </c>
      <c r="E49" s="40">
        <v>5</v>
      </c>
      <c r="F49" s="40">
        <v>4</v>
      </c>
      <c r="G49" s="40">
        <v>2</v>
      </c>
      <c r="H49" s="40">
        <v>2</v>
      </c>
      <c r="I49" s="40">
        <v>5</v>
      </c>
      <c r="J49" s="40">
        <v>4</v>
      </c>
      <c r="L49" s="46">
        <v>11</v>
      </c>
      <c r="M49" s="40">
        <v>5</v>
      </c>
      <c r="N49" s="40">
        <v>5</v>
      </c>
      <c r="O49" s="40">
        <v>5</v>
      </c>
      <c r="P49" s="40">
        <v>8.5</v>
      </c>
      <c r="Q49" s="40">
        <v>5</v>
      </c>
      <c r="R49" s="40">
        <v>1.5</v>
      </c>
      <c r="S49" s="40">
        <v>1.5</v>
      </c>
      <c r="T49" s="40">
        <v>8.5</v>
      </c>
      <c r="U49" s="40">
        <v>5</v>
      </c>
      <c r="V49" s="1">
        <f t="shared" si="5"/>
        <v>45</v>
      </c>
      <c r="Z49" s="66" t="s">
        <v>142</v>
      </c>
      <c r="AA49" s="6">
        <f>C70</f>
        <v>3.6</v>
      </c>
      <c r="AB49" s="1">
        <f>Q69</f>
        <v>142.5</v>
      </c>
    </row>
    <row r="50" spans="1:38" x14ac:dyDescent="0.25">
      <c r="A50" s="46">
        <v>12</v>
      </c>
      <c r="B50" s="40">
        <v>5</v>
      </c>
      <c r="C50" s="40">
        <v>4</v>
      </c>
      <c r="D50" s="40">
        <v>4</v>
      </c>
      <c r="E50" s="40">
        <v>4</v>
      </c>
      <c r="F50" s="40">
        <v>5</v>
      </c>
      <c r="G50" s="40">
        <v>5</v>
      </c>
      <c r="H50" s="40">
        <v>1</v>
      </c>
      <c r="I50" s="40">
        <v>2</v>
      </c>
      <c r="J50" s="40">
        <v>5</v>
      </c>
      <c r="L50" s="46">
        <v>12</v>
      </c>
      <c r="M50" s="40">
        <v>7.5</v>
      </c>
      <c r="N50" s="40">
        <v>4</v>
      </c>
      <c r="O50" s="40">
        <v>4</v>
      </c>
      <c r="P50" s="40">
        <v>4</v>
      </c>
      <c r="Q50" s="40">
        <v>7.5</v>
      </c>
      <c r="R50" s="40">
        <v>7.5</v>
      </c>
      <c r="S50" s="40">
        <v>1</v>
      </c>
      <c r="T50" s="40">
        <v>2</v>
      </c>
      <c r="U50" s="40">
        <v>7.5</v>
      </c>
      <c r="V50" s="1">
        <f t="shared" si="5"/>
        <v>45</v>
      </c>
      <c r="Z50" s="66" t="s">
        <v>143</v>
      </c>
      <c r="AA50" s="6">
        <f>D70</f>
        <v>3.5666666666666669</v>
      </c>
      <c r="AB50" s="1">
        <f>R69</f>
        <v>138</v>
      </c>
    </row>
    <row r="51" spans="1:38" x14ac:dyDescent="0.25">
      <c r="A51" s="46">
        <v>13</v>
      </c>
      <c r="B51" s="40">
        <v>5</v>
      </c>
      <c r="C51" s="40">
        <v>4</v>
      </c>
      <c r="D51" s="40">
        <v>4</v>
      </c>
      <c r="E51" s="40">
        <v>4</v>
      </c>
      <c r="F51" s="40">
        <v>4</v>
      </c>
      <c r="G51" s="40">
        <v>5</v>
      </c>
      <c r="H51" s="40">
        <v>1</v>
      </c>
      <c r="I51" s="40">
        <v>2</v>
      </c>
      <c r="J51" s="40">
        <v>5</v>
      </c>
      <c r="L51" s="46">
        <v>13</v>
      </c>
      <c r="M51" s="40">
        <v>8</v>
      </c>
      <c r="N51" s="40">
        <v>4.5</v>
      </c>
      <c r="O51" s="40">
        <v>4.5</v>
      </c>
      <c r="P51" s="40">
        <v>4.5</v>
      </c>
      <c r="Q51" s="40">
        <v>4.5</v>
      </c>
      <c r="R51" s="40">
        <v>8</v>
      </c>
      <c r="S51" s="40">
        <v>1</v>
      </c>
      <c r="T51" s="40">
        <v>2</v>
      </c>
      <c r="U51" s="40">
        <v>8</v>
      </c>
      <c r="V51" s="1">
        <f t="shared" si="5"/>
        <v>45</v>
      </c>
      <c r="Z51" s="66" t="s">
        <v>144</v>
      </c>
      <c r="AA51" s="6">
        <f>E70</f>
        <v>3.8666666666666667</v>
      </c>
      <c r="AB51" s="1">
        <f>S69</f>
        <v>138</v>
      </c>
      <c r="AG51" s="1">
        <f>((3*30)*(9+1))</f>
        <v>900</v>
      </c>
      <c r="AI51" s="1" t="s">
        <v>131</v>
      </c>
      <c r="AJ51" s="64">
        <f>AL45-AG51</f>
        <v>6.6622222222222263</v>
      </c>
    </row>
    <row r="52" spans="1:38" x14ac:dyDescent="0.25">
      <c r="A52" s="46">
        <v>14</v>
      </c>
      <c r="B52" s="40">
        <v>4</v>
      </c>
      <c r="C52" s="40">
        <v>2</v>
      </c>
      <c r="D52" s="40">
        <v>4</v>
      </c>
      <c r="E52" s="40">
        <v>2</v>
      </c>
      <c r="F52" s="40">
        <v>2</v>
      </c>
      <c r="G52" s="40">
        <v>4</v>
      </c>
      <c r="H52" s="40">
        <v>4</v>
      </c>
      <c r="I52" s="40">
        <v>2</v>
      </c>
      <c r="J52" s="40">
        <v>2</v>
      </c>
      <c r="L52" s="46">
        <v>14</v>
      </c>
      <c r="M52" s="40">
        <v>7.5</v>
      </c>
      <c r="N52" s="40">
        <v>3</v>
      </c>
      <c r="O52" s="40">
        <v>7.5</v>
      </c>
      <c r="P52" s="40">
        <v>3</v>
      </c>
      <c r="Q52" s="40">
        <v>3</v>
      </c>
      <c r="R52" s="40">
        <v>7.5</v>
      </c>
      <c r="S52" s="40">
        <v>7.5</v>
      </c>
      <c r="T52" s="40">
        <v>3</v>
      </c>
      <c r="U52" s="40">
        <v>3</v>
      </c>
      <c r="V52" s="1">
        <f t="shared" si="5"/>
        <v>45</v>
      </c>
      <c r="Z52" s="66" t="s">
        <v>145</v>
      </c>
      <c r="AA52" s="6">
        <f>F70</f>
        <v>3.5333333333333332</v>
      </c>
      <c r="AB52" s="1">
        <f>T69</f>
        <v>155.5</v>
      </c>
    </row>
    <row r="53" spans="1:38" ht="16.5" thickBot="1" x14ac:dyDescent="0.3">
      <c r="A53" s="46">
        <v>15</v>
      </c>
      <c r="B53" s="40">
        <v>5</v>
      </c>
      <c r="C53" s="40">
        <v>4</v>
      </c>
      <c r="D53" s="40">
        <v>4</v>
      </c>
      <c r="E53" s="40">
        <v>5</v>
      </c>
      <c r="F53" s="40">
        <v>2</v>
      </c>
      <c r="G53" s="40">
        <v>4</v>
      </c>
      <c r="H53" s="40">
        <v>5</v>
      </c>
      <c r="I53" s="40">
        <v>4</v>
      </c>
      <c r="J53" s="40">
        <v>4</v>
      </c>
      <c r="L53" s="46">
        <v>15</v>
      </c>
      <c r="M53" s="40">
        <v>8</v>
      </c>
      <c r="N53" s="40">
        <v>4</v>
      </c>
      <c r="O53" s="40">
        <v>4</v>
      </c>
      <c r="P53" s="40">
        <v>8</v>
      </c>
      <c r="Q53" s="40">
        <v>1</v>
      </c>
      <c r="R53" s="40">
        <v>4</v>
      </c>
      <c r="S53" s="40">
        <v>8</v>
      </c>
      <c r="T53" s="40">
        <v>4</v>
      </c>
      <c r="U53" s="40">
        <v>4</v>
      </c>
      <c r="V53" s="1">
        <f t="shared" si="5"/>
        <v>45</v>
      </c>
      <c r="Z53" s="67" t="s">
        <v>146</v>
      </c>
      <c r="AA53" s="6">
        <f>G70</f>
        <v>3.5333333333333332</v>
      </c>
      <c r="AB53" s="1">
        <f>U69</f>
        <v>155</v>
      </c>
      <c r="AI53" s="1" t="s">
        <v>128</v>
      </c>
      <c r="AJ53" s="64">
        <v>15.507</v>
      </c>
      <c r="AK53" s="1" t="s">
        <v>129</v>
      </c>
      <c r="AL53" s="1">
        <f>9-1</f>
        <v>8</v>
      </c>
    </row>
    <row r="54" spans="1:38" x14ac:dyDescent="0.25">
      <c r="A54" s="46">
        <v>16</v>
      </c>
      <c r="B54" s="40">
        <v>4</v>
      </c>
      <c r="C54" s="40">
        <v>4</v>
      </c>
      <c r="D54" s="40">
        <v>4</v>
      </c>
      <c r="E54" s="40">
        <v>2</v>
      </c>
      <c r="F54" s="40">
        <v>4</v>
      </c>
      <c r="G54" s="40">
        <v>5</v>
      </c>
      <c r="H54" s="40">
        <v>4</v>
      </c>
      <c r="I54" s="40">
        <v>4</v>
      </c>
      <c r="J54" s="40">
        <v>4</v>
      </c>
      <c r="L54" s="46">
        <v>16</v>
      </c>
      <c r="M54" s="40">
        <v>5</v>
      </c>
      <c r="N54" s="40">
        <v>5</v>
      </c>
      <c r="O54" s="40">
        <v>5</v>
      </c>
      <c r="P54" s="40">
        <v>1</v>
      </c>
      <c r="Q54" s="40">
        <v>5</v>
      </c>
      <c r="R54" s="40">
        <v>9</v>
      </c>
      <c r="S54" s="40">
        <v>5</v>
      </c>
      <c r="T54" s="40">
        <v>5</v>
      </c>
      <c r="U54" s="40">
        <v>5</v>
      </c>
      <c r="V54" s="1">
        <f t="shared" si="5"/>
        <v>45</v>
      </c>
      <c r="Z54" s="1" t="s">
        <v>73</v>
      </c>
      <c r="AA54" s="90" t="s">
        <v>28</v>
      </c>
      <c r="AB54" s="90"/>
      <c r="AI54" s="1" t="s">
        <v>130</v>
      </c>
    </row>
    <row r="55" spans="1:38" x14ac:dyDescent="0.25">
      <c r="A55" s="46">
        <v>17</v>
      </c>
      <c r="B55" s="40">
        <v>4</v>
      </c>
      <c r="C55" s="40">
        <v>4</v>
      </c>
      <c r="D55" s="40">
        <v>2</v>
      </c>
      <c r="E55" s="40">
        <v>2</v>
      </c>
      <c r="F55" s="40">
        <v>4</v>
      </c>
      <c r="G55" s="40">
        <v>4</v>
      </c>
      <c r="H55" s="40">
        <v>4</v>
      </c>
      <c r="I55" s="40">
        <v>2</v>
      </c>
      <c r="J55" s="40">
        <v>2</v>
      </c>
      <c r="L55" s="46">
        <v>17</v>
      </c>
      <c r="M55" s="40">
        <v>7</v>
      </c>
      <c r="N55" s="40">
        <v>7</v>
      </c>
      <c r="O55" s="40">
        <v>2.5</v>
      </c>
      <c r="P55" s="40">
        <v>2.5</v>
      </c>
      <c r="Q55" s="40">
        <v>7</v>
      </c>
      <c r="R55" s="40">
        <v>7</v>
      </c>
      <c r="S55" s="40">
        <v>7</v>
      </c>
      <c r="T55" s="40">
        <v>2.5</v>
      </c>
      <c r="U55" s="40">
        <v>2.5</v>
      </c>
      <c r="V55" s="1">
        <f t="shared" si="5"/>
        <v>45</v>
      </c>
    </row>
    <row r="56" spans="1:38" x14ac:dyDescent="0.25">
      <c r="A56" s="46">
        <v>18</v>
      </c>
      <c r="B56" s="40">
        <v>5</v>
      </c>
      <c r="C56" s="40">
        <v>5</v>
      </c>
      <c r="D56" s="40">
        <v>5</v>
      </c>
      <c r="E56" s="40">
        <v>5</v>
      </c>
      <c r="F56" s="40">
        <v>5</v>
      </c>
      <c r="G56" s="40">
        <v>4</v>
      </c>
      <c r="H56" s="40">
        <v>4</v>
      </c>
      <c r="I56" s="40">
        <v>5</v>
      </c>
      <c r="J56" s="40">
        <v>4</v>
      </c>
      <c r="L56" s="46">
        <v>18</v>
      </c>
      <c r="M56" s="40">
        <v>6.5</v>
      </c>
      <c r="N56" s="40">
        <v>6.5</v>
      </c>
      <c r="O56" s="40">
        <v>6.5</v>
      </c>
      <c r="P56" s="40">
        <v>6.5</v>
      </c>
      <c r="Q56" s="40">
        <v>6.5</v>
      </c>
      <c r="R56" s="40">
        <v>2</v>
      </c>
      <c r="S56" s="40">
        <v>2</v>
      </c>
      <c r="T56" s="40">
        <v>6.5</v>
      </c>
      <c r="U56" s="40">
        <v>2</v>
      </c>
      <c r="V56" s="1">
        <f t="shared" si="5"/>
        <v>45</v>
      </c>
    </row>
    <row r="57" spans="1:38" x14ac:dyDescent="0.25">
      <c r="A57" s="46">
        <v>19</v>
      </c>
      <c r="B57" s="40">
        <v>2</v>
      </c>
      <c r="C57" s="40">
        <v>4</v>
      </c>
      <c r="D57" s="40">
        <v>4</v>
      </c>
      <c r="E57" s="40">
        <v>4</v>
      </c>
      <c r="F57" s="40">
        <v>2</v>
      </c>
      <c r="G57" s="40">
        <v>2</v>
      </c>
      <c r="H57" s="40">
        <v>4</v>
      </c>
      <c r="I57" s="40">
        <v>4</v>
      </c>
      <c r="J57" s="40">
        <v>2</v>
      </c>
      <c r="L57" s="46">
        <v>19</v>
      </c>
      <c r="M57" s="40">
        <v>2.5</v>
      </c>
      <c r="N57" s="40">
        <v>7</v>
      </c>
      <c r="O57" s="40">
        <v>7</v>
      </c>
      <c r="P57" s="40">
        <v>7</v>
      </c>
      <c r="Q57" s="40">
        <v>2.5</v>
      </c>
      <c r="R57" s="40">
        <v>2.5</v>
      </c>
      <c r="S57" s="40">
        <v>7</v>
      </c>
      <c r="T57" s="40">
        <v>7</v>
      </c>
      <c r="U57" s="40">
        <v>2.5</v>
      </c>
      <c r="V57" s="1">
        <f t="shared" si="5"/>
        <v>45</v>
      </c>
    </row>
    <row r="58" spans="1:38" x14ac:dyDescent="0.25">
      <c r="A58" s="46">
        <v>20</v>
      </c>
      <c r="B58" s="40">
        <v>3</v>
      </c>
      <c r="C58" s="40">
        <v>2</v>
      </c>
      <c r="D58" s="40">
        <v>2</v>
      </c>
      <c r="E58" s="40">
        <v>5</v>
      </c>
      <c r="F58" s="40">
        <v>2</v>
      </c>
      <c r="G58" s="40">
        <v>2</v>
      </c>
      <c r="H58" s="40">
        <v>1</v>
      </c>
      <c r="I58" s="40">
        <v>5</v>
      </c>
      <c r="J58" s="40">
        <v>4</v>
      </c>
      <c r="L58" s="46">
        <v>20</v>
      </c>
      <c r="M58" s="40">
        <v>6</v>
      </c>
      <c r="N58" s="40">
        <v>3.5</v>
      </c>
      <c r="O58" s="40">
        <v>3.5</v>
      </c>
      <c r="P58" s="40">
        <v>8.5</v>
      </c>
      <c r="Q58" s="40">
        <v>3.5</v>
      </c>
      <c r="R58" s="40">
        <v>3.5</v>
      </c>
      <c r="S58" s="40">
        <v>1</v>
      </c>
      <c r="T58" s="40">
        <v>8.5</v>
      </c>
      <c r="U58" s="40">
        <v>7</v>
      </c>
      <c r="V58" s="1">
        <f t="shared" si="5"/>
        <v>45</v>
      </c>
    </row>
    <row r="59" spans="1:38" x14ac:dyDescent="0.25">
      <c r="A59" s="46">
        <v>21</v>
      </c>
      <c r="B59" s="40">
        <v>3</v>
      </c>
      <c r="C59" s="40">
        <v>3</v>
      </c>
      <c r="D59" s="40">
        <v>2</v>
      </c>
      <c r="E59" s="40">
        <v>4</v>
      </c>
      <c r="F59" s="40">
        <v>2</v>
      </c>
      <c r="G59" s="40">
        <v>3</v>
      </c>
      <c r="H59" s="40">
        <v>4</v>
      </c>
      <c r="I59" s="40">
        <v>3</v>
      </c>
      <c r="J59" s="40">
        <v>3</v>
      </c>
      <c r="L59" s="46">
        <v>21</v>
      </c>
      <c r="M59" s="40">
        <v>5</v>
      </c>
      <c r="N59" s="40">
        <v>5</v>
      </c>
      <c r="O59" s="40">
        <v>1.5</v>
      </c>
      <c r="P59" s="40">
        <v>8.5</v>
      </c>
      <c r="Q59" s="40">
        <v>1.5</v>
      </c>
      <c r="R59" s="40">
        <v>5</v>
      </c>
      <c r="S59" s="40">
        <v>8.5</v>
      </c>
      <c r="T59" s="40">
        <v>5</v>
      </c>
      <c r="U59" s="40">
        <v>5</v>
      </c>
      <c r="V59" s="1">
        <f t="shared" si="5"/>
        <v>45</v>
      </c>
    </row>
    <row r="60" spans="1:38" x14ac:dyDescent="0.25">
      <c r="A60" s="46">
        <v>22</v>
      </c>
      <c r="B60" s="40">
        <v>5</v>
      </c>
      <c r="C60" s="40">
        <v>4</v>
      </c>
      <c r="D60" s="40">
        <v>5</v>
      </c>
      <c r="E60" s="40">
        <v>4</v>
      </c>
      <c r="F60" s="40">
        <v>4</v>
      </c>
      <c r="G60" s="40">
        <v>4</v>
      </c>
      <c r="H60" s="40">
        <v>5</v>
      </c>
      <c r="I60" s="40">
        <v>4</v>
      </c>
      <c r="J60" s="40">
        <v>4</v>
      </c>
      <c r="L60" s="46">
        <v>22</v>
      </c>
      <c r="M60" s="40">
        <v>8</v>
      </c>
      <c r="N60" s="40">
        <v>3.5</v>
      </c>
      <c r="O60" s="40">
        <v>8</v>
      </c>
      <c r="P60" s="40">
        <v>3.5</v>
      </c>
      <c r="Q60" s="40">
        <v>3.5</v>
      </c>
      <c r="R60" s="40">
        <v>3.5</v>
      </c>
      <c r="S60" s="40">
        <v>8</v>
      </c>
      <c r="T60" s="40">
        <v>3.5</v>
      </c>
      <c r="U60" s="40">
        <v>3.5</v>
      </c>
      <c r="V60" s="1">
        <f t="shared" si="5"/>
        <v>45</v>
      </c>
    </row>
    <row r="61" spans="1:38" x14ac:dyDescent="0.25">
      <c r="A61" s="46">
        <v>23</v>
      </c>
      <c r="B61" s="40">
        <v>2</v>
      </c>
      <c r="C61" s="40">
        <v>4</v>
      </c>
      <c r="D61" s="40">
        <v>2</v>
      </c>
      <c r="E61" s="40">
        <v>5</v>
      </c>
      <c r="F61" s="40">
        <v>4</v>
      </c>
      <c r="G61" s="40">
        <v>2</v>
      </c>
      <c r="H61" s="40">
        <v>4</v>
      </c>
      <c r="I61" s="40">
        <v>4</v>
      </c>
      <c r="J61" s="40">
        <v>2</v>
      </c>
      <c r="L61" s="46">
        <v>23</v>
      </c>
      <c r="M61" s="40">
        <v>2.5</v>
      </c>
      <c r="N61" s="40">
        <v>6.5</v>
      </c>
      <c r="O61" s="40">
        <v>2.5</v>
      </c>
      <c r="P61" s="40">
        <v>9</v>
      </c>
      <c r="Q61" s="40">
        <v>6.5</v>
      </c>
      <c r="R61" s="40">
        <v>2.5</v>
      </c>
      <c r="S61" s="40">
        <v>6.5</v>
      </c>
      <c r="T61" s="40">
        <v>6.5</v>
      </c>
      <c r="U61" s="40">
        <v>2.5</v>
      </c>
      <c r="V61" s="1">
        <f t="shared" si="5"/>
        <v>45</v>
      </c>
    </row>
    <row r="62" spans="1:38" x14ac:dyDescent="0.25">
      <c r="A62" s="46">
        <v>24</v>
      </c>
      <c r="B62" s="40">
        <v>4</v>
      </c>
      <c r="C62" s="40">
        <v>2</v>
      </c>
      <c r="D62" s="40">
        <v>4</v>
      </c>
      <c r="E62" s="40">
        <v>4</v>
      </c>
      <c r="F62" s="40">
        <v>2</v>
      </c>
      <c r="G62" s="40">
        <v>4</v>
      </c>
      <c r="H62" s="40">
        <v>5</v>
      </c>
      <c r="I62" s="40">
        <v>4</v>
      </c>
      <c r="J62" s="40">
        <v>4</v>
      </c>
      <c r="L62" s="46">
        <v>24</v>
      </c>
      <c r="M62" s="40">
        <v>5.5</v>
      </c>
      <c r="N62" s="40">
        <v>1.5</v>
      </c>
      <c r="O62" s="40">
        <v>5.5</v>
      </c>
      <c r="P62" s="40">
        <v>5.5</v>
      </c>
      <c r="Q62" s="40">
        <v>1.5</v>
      </c>
      <c r="R62" s="40">
        <v>5.5</v>
      </c>
      <c r="S62" s="40">
        <v>9</v>
      </c>
      <c r="T62" s="40">
        <v>5.5</v>
      </c>
      <c r="U62" s="40">
        <v>5.5</v>
      </c>
      <c r="V62" s="1">
        <f t="shared" si="5"/>
        <v>45</v>
      </c>
    </row>
    <row r="63" spans="1:38" x14ac:dyDescent="0.25">
      <c r="A63" s="46">
        <v>25</v>
      </c>
      <c r="B63" s="40">
        <v>4</v>
      </c>
      <c r="C63" s="40">
        <v>4</v>
      </c>
      <c r="D63" s="40">
        <v>2</v>
      </c>
      <c r="E63" s="40">
        <v>4</v>
      </c>
      <c r="F63" s="40">
        <v>4</v>
      </c>
      <c r="G63" s="40">
        <v>2</v>
      </c>
      <c r="H63" s="40">
        <v>2</v>
      </c>
      <c r="I63" s="40">
        <v>4</v>
      </c>
      <c r="J63" s="40">
        <v>5</v>
      </c>
      <c r="L63" s="46">
        <v>25</v>
      </c>
      <c r="M63" s="40">
        <v>6</v>
      </c>
      <c r="N63" s="40">
        <v>6</v>
      </c>
      <c r="O63" s="40">
        <v>2</v>
      </c>
      <c r="P63" s="40">
        <v>6</v>
      </c>
      <c r="Q63" s="40">
        <v>6</v>
      </c>
      <c r="R63" s="40">
        <v>2</v>
      </c>
      <c r="S63" s="40">
        <v>2</v>
      </c>
      <c r="T63" s="40">
        <v>6</v>
      </c>
      <c r="U63" s="40">
        <v>9</v>
      </c>
      <c r="V63" s="1">
        <f t="shared" si="5"/>
        <v>45</v>
      </c>
    </row>
    <row r="64" spans="1:38" x14ac:dyDescent="0.25">
      <c r="A64" s="46">
        <v>26</v>
      </c>
      <c r="B64" s="40">
        <v>2</v>
      </c>
      <c r="C64" s="40">
        <v>4</v>
      </c>
      <c r="D64" s="40">
        <v>2</v>
      </c>
      <c r="E64" s="40">
        <v>4</v>
      </c>
      <c r="F64" s="40">
        <v>2</v>
      </c>
      <c r="G64" s="40">
        <v>2</v>
      </c>
      <c r="H64" s="40">
        <v>2</v>
      </c>
      <c r="I64" s="40">
        <v>4</v>
      </c>
      <c r="J64" s="40">
        <v>4</v>
      </c>
      <c r="L64" s="46">
        <v>26</v>
      </c>
      <c r="M64" s="40">
        <v>3</v>
      </c>
      <c r="N64" s="40">
        <v>7.5</v>
      </c>
      <c r="O64" s="40">
        <v>3</v>
      </c>
      <c r="P64" s="40">
        <v>7.5</v>
      </c>
      <c r="Q64" s="40">
        <v>3</v>
      </c>
      <c r="R64" s="40">
        <v>3</v>
      </c>
      <c r="S64" s="40">
        <v>3</v>
      </c>
      <c r="T64" s="40">
        <v>7.5</v>
      </c>
      <c r="U64" s="40">
        <v>7.5</v>
      </c>
      <c r="V64" s="1">
        <f t="shared" si="5"/>
        <v>45</v>
      </c>
    </row>
    <row r="65" spans="1:38" x14ac:dyDescent="0.25">
      <c r="A65" s="46">
        <v>27</v>
      </c>
      <c r="B65" s="40">
        <v>5</v>
      </c>
      <c r="C65" s="40">
        <v>4</v>
      </c>
      <c r="D65" s="40">
        <v>5</v>
      </c>
      <c r="E65" s="40">
        <v>5</v>
      </c>
      <c r="F65" s="40">
        <v>4</v>
      </c>
      <c r="G65" s="40">
        <v>4</v>
      </c>
      <c r="H65" s="40">
        <v>4</v>
      </c>
      <c r="I65" s="40">
        <v>4</v>
      </c>
      <c r="J65" s="40">
        <v>4</v>
      </c>
      <c r="L65" s="46">
        <v>27</v>
      </c>
      <c r="M65" s="40">
        <v>8</v>
      </c>
      <c r="N65" s="40">
        <v>3.5</v>
      </c>
      <c r="O65" s="40">
        <v>8</v>
      </c>
      <c r="P65" s="40">
        <v>8</v>
      </c>
      <c r="Q65" s="40">
        <v>3.5</v>
      </c>
      <c r="R65" s="40">
        <v>3.5</v>
      </c>
      <c r="S65" s="40">
        <v>3.5</v>
      </c>
      <c r="T65" s="40">
        <v>3.5</v>
      </c>
      <c r="U65" s="40">
        <v>3.5</v>
      </c>
      <c r="V65" s="1">
        <f t="shared" si="5"/>
        <v>45</v>
      </c>
    </row>
    <row r="66" spans="1:38" x14ac:dyDescent="0.25">
      <c r="A66" s="46">
        <v>28</v>
      </c>
      <c r="B66" s="40">
        <v>4</v>
      </c>
      <c r="C66" s="40">
        <v>4</v>
      </c>
      <c r="D66" s="40">
        <v>3</v>
      </c>
      <c r="E66" s="40">
        <v>5</v>
      </c>
      <c r="F66" s="40">
        <v>4</v>
      </c>
      <c r="G66" s="40">
        <v>4</v>
      </c>
      <c r="H66" s="40">
        <v>3</v>
      </c>
      <c r="I66" s="40">
        <v>5</v>
      </c>
      <c r="J66" s="40">
        <v>5</v>
      </c>
      <c r="L66" s="46">
        <v>28</v>
      </c>
      <c r="M66" s="40">
        <v>4.5</v>
      </c>
      <c r="N66" s="40">
        <v>4.5</v>
      </c>
      <c r="O66" s="40">
        <v>1.5</v>
      </c>
      <c r="P66" s="40">
        <v>8</v>
      </c>
      <c r="Q66" s="40">
        <v>4.5</v>
      </c>
      <c r="R66" s="40">
        <v>4.5</v>
      </c>
      <c r="S66" s="40">
        <v>1.5</v>
      </c>
      <c r="T66" s="40">
        <v>8</v>
      </c>
      <c r="U66" s="40">
        <v>8</v>
      </c>
      <c r="V66" s="1">
        <f t="shared" si="5"/>
        <v>45</v>
      </c>
    </row>
    <row r="67" spans="1:38" x14ac:dyDescent="0.25">
      <c r="A67" s="46">
        <v>29</v>
      </c>
      <c r="B67" s="40">
        <v>4</v>
      </c>
      <c r="C67" s="40">
        <v>4</v>
      </c>
      <c r="D67" s="40">
        <v>1</v>
      </c>
      <c r="E67" s="40">
        <v>4</v>
      </c>
      <c r="F67" s="40">
        <v>1</v>
      </c>
      <c r="G67" s="40">
        <v>4</v>
      </c>
      <c r="H67" s="40">
        <v>1</v>
      </c>
      <c r="I67" s="40">
        <v>1</v>
      </c>
      <c r="J67" s="40">
        <v>4</v>
      </c>
      <c r="L67" s="46">
        <v>29</v>
      </c>
      <c r="M67" s="40">
        <v>7</v>
      </c>
      <c r="N67" s="40">
        <v>7</v>
      </c>
      <c r="O67" s="40">
        <v>2.5</v>
      </c>
      <c r="P67" s="40">
        <v>7</v>
      </c>
      <c r="Q67" s="40">
        <v>2.5</v>
      </c>
      <c r="R67" s="40">
        <v>7</v>
      </c>
      <c r="S67" s="40">
        <v>2.5</v>
      </c>
      <c r="T67" s="40">
        <v>2.5</v>
      </c>
      <c r="U67" s="40">
        <v>7</v>
      </c>
      <c r="V67" s="1">
        <f t="shared" si="5"/>
        <v>45</v>
      </c>
    </row>
    <row r="68" spans="1:38" x14ac:dyDescent="0.25">
      <c r="A68" s="46">
        <v>30</v>
      </c>
      <c r="B68" s="40">
        <v>4</v>
      </c>
      <c r="C68" s="40">
        <v>4</v>
      </c>
      <c r="D68" s="40">
        <v>1</v>
      </c>
      <c r="E68" s="40">
        <v>4</v>
      </c>
      <c r="F68" s="40">
        <v>4</v>
      </c>
      <c r="G68" s="40">
        <v>1</v>
      </c>
      <c r="H68" s="40">
        <v>4</v>
      </c>
      <c r="I68" s="40">
        <v>1</v>
      </c>
      <c r="J68" s="40">
        <v>1</v>
      </c>
      <c r="L68" s="46">
        <v>30</v>
      </c>
      <c r="M68" s="40">
        <v>6</v>
      </c>
      <c r="N68" s="40">
        <v>6</v>
      </c>
      <c r="O68" s="40">
        <v>1.5</v>
      </c>
      <c r="P68" s="40">
        <v>6</v>
      </c>
      <c r="Q68" s="40">
        <v>6</v>
      </c>
      <c r="R68" s="40">
        <v>1.5</v>
      </c>
      <c r="S68" s="40">
        <v>6</v>
      </c>
      <c r="T68" s="40">
        <v>6</v>
      </c>
      <c r="U68" s="40">
        <v>6</v>
      </c>
      <c r="V68" s="1">
        <f t="shared" si="5"/>
        <v>45</v>
      </c>
    </row>
    <row r="69" spans="1:38" x14ac:dyDescent="0.25">
      <c r="A69" s="43" t="s">
        <v>68</v>
      </c>
      <c r="B69" s="39">
        <f>SUM(B39:B68)</f>
        <v>119</v>
      </c>
      <c r="C69" s="39">
        <f t="shared" ref="C69:I69" si="6">SUM(C39:C68)</f>
        <v>108</v>
      </c>
      <c r="D69" s="39">
        <f t="shared" si="6"/>
        <v>107</v>
      </c>
      <c r="E69" s="39">
        <f t="shared" si="6"/>
        <v>116</v>
      </c>
      <c r="F69" s="39">
        <f t="shared" si="6"/>
        <v>106</v>
      </c>
      <c r="G69" s="39">
        <f t="shared" si="6"/>
        <v>106</v>
      </c>
      <c r="H69" s="39">
        <f t="shared" si="6"/>
        <v>102</v>
      </c>
      <c r="I69" s="39">
        <f t="shared" si="6"/>
        <v>109</v>
      </c>
      <c r="J69" s="39">
        <f>SUM(J39:J68)</f>
        <v>113</v>
      </c>
      <c r="L69" s="43" t="s">
        <v>68</v>
      </c>
      <c r="M69" s="39">
        <f>SUM(M39:M68)</f>
        <v>174.5</v>
      </c>
      <c r="N69" s="39">
        <f t="shared" ref="N69:U69" si="7">SUM(N39:N68)</f>
        <v>140</v>
      </c>
      <c r="O69" s="39">
        <f t="shared" si="7"/>
        <v>139.5</v>
      </c>
      <c r="P69" s="39">
        <f t="shared" si="7"/>
        <v>167</v>
      </c>
      <c r="Q69" s="39">
        <f t="shared" si="7"/>
        <v>142.5</v>
      </c>
      <c r="R69" s="39">
        <f t="shared" si="7"/>
        <v>138</v>
      </c>
      <c r="S69" s="39">
        <f t="shared" si="7"/>
        <v>138</v>
      </c>
      <c r="T69" s="39">
        <f t="shared" si="7"/>
        <v>155.5</v>
      </c>
      <c r="U69" s="39">
        <f t="shared" si="7"/>
        <v>155</v>
      </c>
    </row>
    <row r="70" spans="1:38" x14ac:dyDescent="0.25">
      <c r="A70" s="44" t="s">
        <v>69</v>
      </c>
      <c r="B70" s="45">
        <f>AVERAGE(B39:B68)</f>
        <v>3.9666666666666668</v>
      </c>
      <c r="C70" s="45">
        <f t="shared" ref="C70:J70" si="8">AVERAGE(C39:C68)</f>
        <v>3.6</v>
      </c>
      <c r="D70" s="45">
        <f t="shared" si="8"/>
        <v>3.5666666666666669</v>
      </c>
      <c r="E70" s="45">
        <f t="shared" si="8"/>
        <v>3.8666666666666667</v>
      </c>
      <c r="F70" s="45">
        <f t="shared" si="8"/>
        <v>3.5333333333333332</v>
      </c>
      <c r="G70" s="45">
        <f t="shared" si="8"/>
        <v>3.5333333333333332</v>
      </c>
      <c r="H70" s="45">
        <f t="shared" si="8"/>
        <v>3.4</v>
      </c>
      <c r="I70" s="45">
        <f t="shared" si="8"/>
        <v>3.6333333333333333</v>
      </c>
      <c r="J70" s="45">
        <f t="shared" si="8"/>
        <v>3.7666666666666666</v>
      </c>
      <c r="L70" s="44" t="s">
        <v>69</v>
      </c>
      <c r="M70" s="45">
        <f>AVERAGE(M39:M68)</f>
        <v>5.8166666666666664</v>
      </c>
      <c r="N70" s="45">
        <f t="shared" ref="N70:T70" si="9">AVERAGE(N39:N68)</f>
        <v>4.666666666666667</v>
      </c>
      <c r="O70" s="45">
        <f t="shared" si="9"/>
        <v>4.6500000000000004</v>
      </c>
      <c r="P70" s="45">
        <f t="shared" si="9"/>
        <v>5.5666666666666664</v>
      </c>
      <c r="Q70" s="45">
        <f t="shared" si="9"/>
        <v>4.75</v>
      </c>
      <c r="R70" s="45">
        <f t="shared" si="9"/>
        <v>4.5999999999999996</v>
      </c>
      <c r="S70" s="45">
        <f t="shared" si="9"/>
        <v>4.5999999999999996</v>
      </c>
      <c r="T70" s="45">
        <f t="shared" si="9"/>
        <v>5.1833333333333336</v>
      </c>
      <c r="U70" s="45">
        <f>AVERAGE(U39:U68)</f>
        <v>5.166666666666667</v>
      </c>
    </row>
    <row r="72" spans="1:38" x14ac:dyDescent="0.25">
      <c r="A72" s="99" t="s">
        <v>45</v>
      </c>
      <c r="B72" s="99" t="s">
        <v>67</v>
      </c>
      <c r="C72" s="99"/>
      <c r="D72" s="99"/>
      <c r="E72" s="99"/>
      <c r="F72" s="99"/>
      <c r="G72" s="99"/>
      <c r="H72" s="99"/>
      <c r="I72" s="99"/>
      <c r="J72" s="99"/>
      <c r="L72" s="99" t="s">
        <v>45</v>
      </c>
      <c r="M72" s="99" t="s">
        <v>67</v>
      </c>
      <c r="N72" s="99"/>
      <c r="O72" s="99"/>
      <c r="P72" s="99"/>
      <c r="Q72" s="99"/>
      <c r="R72" s="99"/>
      <c r="S72" s="99"/>
      <c r="T72" s="99"/>
      <c r="U72" s="99"/>
    </row>
    <row r="73" spans="1:38" x14ac:dyDescent="0.25">
      <c r="A73" s="99"/>
      <c r="B73" s="46">
        <v>813</v>
      </c>
      <c r="C73" s="46">
        <v>341</v>
      </c>
      <c r="D73" s="46">
        <v>792</v>
      </c>
      <c r="E73" s="46">
        <v>627</v>
      </c>
      <c r="F73" s="46">
        <v>303</v>
      </c>
      <c r="G73" s="46">
        <v>322</v>
      </c>
      <c r="H73" s="46">
        <v>852</v>
      </c>
      <c r="I73" s="46">
        <v>255</v>
      </c>
      <c r="J73" s="46">
        <v>942</v>
      </c>
      <c r="L73" s="99"/>
      <c r="M73" s="46" t="s">
        <v>8</v>
      </c>
      <c r="N73" s="46" t="s">
        <v>13</v>
      </c>
      <c r="O73" s="46" t="s">
        <v>17</v>
      </c>
      <c r="P73" s="46" t="s">
        <v>10</v>
      </c>
      <c r="Q73" s="46" t="s">
        <v>15</v>
      </c>
      <c r="R73" s="46" t="s">
        <v>18</v>
      </c>
      <c r="S73" s="46" t="s">
        <v>12</v>
      </c>
      <c r="T73" s="46" t="s">
        <v>16</v>
      </c>
      <c r="U73" s="46" t="s">
        <v>26</v>
      </c>
    </row>
    <row r="74" spans="1:38" x14ac:dyDescent="0.25">
      <c r="A74" s="46">
        <v>1</v>
      </c>
      <c r="B74" s="40">
        <v>2</v>
      </c>
      <c r="C74" s="40">
        <v>4</v>
      </c>
      <c r="D74" s="40">
        <v>2</v>
      </c>
      <c r="E74" s="40">
        <v>5</v>
      </c>
      <c r="F74" s="40">
        <v>2</v>
      </c>
      <c r="G74" s="40">
        <v>2</v>
      </c>
      <c r="H74" s="40">
        <v>4</v>
      </c>
      <c r="I74" s="40">
        <v>2</v>
      </c>
      <c r="J74" s="40">
        <v>2</v>
      </c>
      <c r="L74" s="46">
        <v>1</v>
      </c>
      <c r="M74" s="40">
        <v>3.5</v>
      </c>
      <c r="N74" s="40">
        <v>8</v>
      </c>
      <c r="O74" s="40">
        <v>3.5</v>
      </c>
      <c r="P74" s="40">
        <v>8</v>
      </c>
      <c r="Q74" s="40">
        <v>3.5</v>
      </c>
      <c r="R74" s="40">
        <v>3.5</v>
      </c>
      <c r="S74" s="40">
        <v>8</v>
      </c>
      <c r="T74" s="40">
        <v>3.5</v>
      </c>
      <c r="U74" s="40">
        <v>3.5</v>
      </c>
      <c r="V74" s="1">
        <f>SUM(M74:U74)</f>
        <v>45</v>
      </c>
      <c r="Z74" s="1" t="s">
        <v>7</v>
      </c>
      <c r="AA74" s="1">
        <f>(12/((30*9)*(9+1))*SUMSQ(M104:U104)-3*(30)*(9+1))</f>
        <v>13.684444444444466</v>
      </c>
    </row>
    <row r="75" spans="1:38" x14ac:dyDescent="0.25">
      <c r="A75" s="46">
        <v>2</v>
      </c>
      <c r="B75" s="40">
        <v>4</v>
      </c>
      <c r="C75" s="40">
        <v>4</v>
      </c>
      <c r="D75" s="40">
        <v>4</v>
      </c>
      <c r="E75" s="40">
        <v>4</v>
      </c>
      <c r="F75" s="40">
        <v>4</v>
      </c>
      <c r="G75" s="40">
        <v>4</v>
      </c>
      <c r="H75" s="40">
        <v>2</v>
      </c>
      <c r="I75" s="40">
        <v>4</v>
      </c>
      <c r="J75" s="40">
        <v>4</v>
      </c>
      <c r="L75" s="46">
        <v>2</v>
      </c>
      <c r="M75" s="40">
        <v>5.5</v>
      </c>
      <c r="N75" s="40">
        <v>5.5</v>
      </c>
      <c r="O75" s="40">
        <v>5.5</v>
      </c>
      <c r="P75" s="40">
        <v>5.5</v>
      </c>
      <c r="Q75" s="40">
        <v>5.5</v>
      </c>
      <c r="R75" s="40">
        <v>5.5</v>
      </c>
      <c r="S75" s="40">
        <v>1</v>
      </c>
      <c r="T75" s="40">
        <v>5.5</v>
      </c>
      <c r="U75" s="40">
        <v>5.5</v>
      </c>
      <c r="V75" s="1">
        <f t="shared" ref="V75:V103" si="10">SUM(M75:U75)</f>
        <v>45</v>
      </c>
      <c r="Z75" s="1" t="s">
        <v>70</v>
      </c>
      <c r="AA75" s="1">
        <f>_xlfn.CHISQ.INV.RT(0.05,8)</f>
        <v>15.507313055865453</v>
      </c>
    </row>
    <row r="76" spans="1:38" x14ac:dyDescent="0.25">
      <c r="A76" s="46">
        <v>3</v>
      </c>
      <c r="B76" s="40">
        <v>4</v>
      </c>
      <c r="C76" s="40">
        <v>4</v>
      </c>
      <c r="D76" s="40">
        <v>4</v>
      </c>
      <c r="E76" s="40">
        <v>4</v>
      </c>
      <c r="F76" s="40">
        <v>2</v>
      </c>
      <c r="G76" s="40">
        <v>2</v>
      </c>
      <c r="H76" s="40">
        <v>4</v>
      </c>
      <c r="I76" s="40">
        <v>3</v>
      </c>
      <c r="J76" s="40">
        <v>2</v>
      </c>
      <c r="L76" s="46">
        <v>3</v>
      </c>
      <c r="M76" s="40">
        <v>7</v>
      </c>
      <c r="N76" s="40">
        <v>7</v>
      </c>
      <c r="O76" s="40">
        <v>7</v>
      </c>
      <c r="P76" s="40">
        <v>7</v>
      </c>
      <c r="Q76" s="40">
        <v>2</v>
      </c>
      <c r="R76" s="40">
        <v>2</v>
      </c>
      <c r="S76" s="40">
        <v>7</v>
      </c>
      <c r="T76" s="40">
        <v>4</v>
      </c>
      <c r="U76" s="40">
        <v>2</v>
      </c>
      <c r="V76" s="1">
        <f t="shared" si="10"/>
        <v>45</v>
      </c>
    </row>
    <row r="77" spans="1:38" x14ac:dyDescent="0.25">
      <c r="A77" s="46">
        <v>4</v>
      </c>
      <c r="B77" s="40">
        <v>5</v>
      </c>
      <c r="C77" s="40">
        <v>5</v>
      </c>
      <c r="D77" s="40">
        <v>5</v>
      </c>
      <c r="E77" s="40">
        <v>5</v>
      </c>
      <c r="F77" s="40">
        <v>5</v>
      </c>
      <c r="G77" s="40">
        <v>5</v>
      </c>
      <c r="H77" s="40">
        <v>5</v>
      </c>
      <c r="I77" s="40">
        <v>5</v>
      </c>
      <c r="J77" s="40">
        <v>5</v>
      </c>
      <c r="L77" s="46">
        <v>4</v>
      </c>
      <c r="M77" s="40">
        <v>5</v>
      </c>
      <c r="N77" s="40">
        <v>5</v>
      </c>
      <c r="O77" s="40">
        <v>5</v>
      </c>
      <c r="P77" s="40">
        <v>5</v>
      </c>
      <c r="Q77" s="40">
        <v>5</v>
      </c>
      <c r="R77" s="40">
        <v>5</v>
      </c>
      <c r="S77" s="40">
        <v>5</v>
      </c>
      <c r="T77" s="40">
        <v>5</v>
      </c>
      <c r="U77" s="40">
        <v>5</v>
      </c>
      <c r="V77" s="1">
        <f t="shared" si="10"/>
        <v>45</v>
      </c>
      <c r="Z77" s="1" t="s">
        <v>71</v>
      </c>
      <c r="AA77" s="1" t="s">
        <v>74</v>
      </c>
    </row>
    <row r="78" spans="1:38" x14ac:dyDescent="0.25">
      <c r="A78" s="46">
        <v>5</v>
      </c>
      <c r="B78" s="40">
        <v>4</v>
      </c>
      <c r="C78" s="40">
        <v>4</v>
      </c>
      <c r="D78" s="40">
        <v>2</v>
      </c>
      <c r="E78" s="40">
        <v>5</v>
      </c>
      <c r="F78" s="40">
        <v>4</v>
      </c>
      <c r="G78" s="40">
        <v>5</v>
      </c>
      <c r="H78" s="40">
        <v>4</v>
      </c>
      <c r="I78" s="40">
        <v>4</v>
      </c>
      <c r="J78" s="40">
        <v>4</v>
      </c>
      <c r="L78" s="46">
        <v>5</v>
      </c>
      <c r="M78" s="40">
        <v>4.5</v>
      </c>
      <c r="N78" s="40">
        <v>4.5</v>
      </c>
      <c r="O78" s="40">
        <v>1</v>
      </c>
      <c r="P78" s="40">
        <v>8.5</v>
      </c>
      <c r="Q78" s="40">
        <v>4.5</v>
      </c>
      <c r="R78" s="40">
        <v>8.5</v>
      </c>
      <c r="S78" s="40">
        <v>4.5</v>
      </c>
      <c r="T78" s="40">
        <v>4.5</v>
      </c>
      <c r="U78" s="40">
        <v>4.5</v>
      </c>
      <c r="V78" s="1">
        <f t="shared" si="10"/>
        <v>45</v>
      </c>
    </row>
    <row r="79" spans="1:38" ht="16.5" thickBot="1" x14ac:dyDescent="0.3">
      <c r="A79" s="46">
        <v>6</v>
      </c>
      <c r="B79" s="40">
        <v>4</v>
      </c>
      <c r="C79" s="40">
        <v>4</v>
      </c>
      <c r="D79" s="40">
        <v>5</v>
      </c>
      <c r="E79" s="40">
        <v>2</v>
      </c>
      <c r="F79" s="40">
        <v>1</v>
      </c>
      <c r="G79" s="40">
        <v>4</v>
      </c>
      <c r="H79" s="40">
        <v>5</v>
      </c>
      <c r="I79" s="40">
        <v>1</v>
      </c>
      <c r="J79" s="40">
        <v>2</v>
      </c>
      <c r="L79" s="46">
        <v>6</v>
      </c>
      <c r="M79" s="40">
        <v>6</v>
      </c>
      <c r="N79" s="40">
        <v>6</v>
      </c>
      <c r="O79" s="40">
        <v>8.5</v>
      </c>
      <c r="P79" s="40">
        <v>3.5</v>
      </c>
      <c r="Q79" s="40">
        <v>1.5</v>
      </c>
      <c r="R79" s="40">
        <v>6</v>
      </c>
      <c r="S79" s="40">
        <v>8.5</v>
      </c>
      <c r="T79" s="40">
        <v>1.5</v>
      </c>
      <c r="U79" s="40">
        <v>3.5</v>
      </c>
      <c r="V79" s="1">
        <f t="shared" si="10"/>
        <v>45</v>
      </c>
      <c r="Z79" s="1" t="s">
        <v>0</v>
      </c>
      <c r="AA79" s="1" t="s">
        <v>49</v>
      </c>
      <c r="AB79" s="1" t="s">
        <v>72</v>
      </c>
    </row>
    <row r="80" spans="1:38" x14ac:dyDescent="0.25">
      <c r="A80" s="46">
        <v>7</v>
      </c>
      <c r="B80" s="40">
        <v>4</v>
      </c>
      <c r="C80" s="40">
        <v>4</v>
      </c>
      <c r="D80" s="40">
        <v>4</v>
      </c>
      <c r="E80" s="40">
        <v>4</v>
      </c>
      <c r="F80" s="40">
        <v>4</v>
      </c>
      <c r="G80" s="40">
        <v>4</v>
      </c>
      <c r="H80" s="40">
        <v>2</v>
      </c>
      <c r="I80" s="40">
        <v>4</v>
      </c>
      <c r="J80" s="40">
        <v>4</v>
      </c>
      <c r="L80" s="46">
        <v>7</v>
      </c>
      <c r="M80" s="40">
        <v>5.5</v>
      </c>
      <c r="N80" s="40">
        <v>5.5</v>
      </c>
      <c r="O80" s="40">
        <v>5.5</v>
      </c>
      <c r="P80" s="40">
        <v>5.5</v>
      </c>
      <c r="Q80" s="40">
        <v>5.5</v>
      </c>
      <c r="R80" s="40">
        <v>5.5</v>
      </c>
      <c r="S80" s="40">
        <v>1</v>
      </c>
      <c r="T80" s="40">
        <v>5.5</v>
      </c>
      <c r="U80" s="40">
        <v>5.5</v>
      </c>
      <c r="V80" s="1">
        <f t="shared" si="10"/>
        <v>45</v>
      </c>
      <c r="Z80" s="65" t="s">
        <v>147</v>
      </c>
      <c r="AA80" s="6">
        <f>H105</f>
        <v>3.3666666666666667</v>
      </c>
      <c r="AB80" s="1">
        <f>M104</f>
        <v>164.5</v>
      </c>
      <c r="AG80" s="1">
        <f>((30*9)*(9+1))</f>
        <v>2700</v>
      </c>
      <c r="AL80" s="1">
        <f>((12*AG84)/AG80)</f>
        <v>913.68444444444447</v>
      </c>
    </row>
    <row r="81" spans="1:38" x14ac:dyDescent="0.25">
      <c r="A81" s="46">
        <v>8</v>
      </c>
      <c r="B81" s="40">
        <v>5</v>
      </c>
      <c r="C81" s="40">
        <v>4</v>
      </c>
      <c r="D81" s="40">
        <v>4</v>
      </c>
      <c r="E81" s="40">
        <v>4</v>
      </c>
      <c r="F81" s="40">
        <v>2</v>
      </c>
      <c r="G81" s="40">
        <v>4</v>
      </c>
      <c r="H81" s="40">
        <v>1</v>
      </c>
      <c r="I81" s="40">
        <v>5</v>
      </c>
      <c r="J81" s="40">
        <v>1</v>
      </c>
      <c r="L81" s="46">
        <v>8</v>
      </c>
      <c r="M81" s="40">
        <v>8.5</v>
      </c>
      <c r="N81" s="40">
        <v>5.5</v>
      </c>
      <c r="O81" s="40">
        <v>5.5</v>
      </c>
      <c r="P81" s="40">
        <v>5.5</v>
      </c>
      <c r="Q81" s="40">
        <v>3</v>
      </c>
      <c r="R81" s="40">
        <v>5.5</v>
      </c>
      <c r="S81" s="40">
        <v>1.5</v>
      </c>
      <c r="T81" s="40">
        <v>8.5</v>
      </c>
      <c r="U81" s="40">
        <v>1.5</v>
      </c>
      <c r="V81" s="1">
        <f t="shared" si="10"/>
        <v>45</v>
      </c>
      <c r="Z81" s="66" t="s">
        <v>139</v>
      </c>
      <c r="AA81" s="6">
        <f>I105</f>
        <v>3.6</v>
      </c>
      <c r="AB81" s="1">
        <f>N104</f>
        <v>149</v>
      </c>
    </row>
    <row r="82" spans="1:38" x14ac:dyDescent="0.25">
      <c r="A82" s="46">
        <v>9</v>
      </c>
      <c r="B82" s="40">
        <v>4</v>
      </c>
      <c r="C82" s="40">
        <v>2</v>
      </c>
      <c r="D82" s="40">
        <v>2</v>
      </c>
      <c r="E82" s="40">
        <v>4</v>
      </c>
      <c r="F82" s="40">
        <v>4</v>
      </c>
      <c r="G82" s="40">
        <v>5</v>
      </c>
      <c r="H82" s="40">
        <v>4</v>
      </c>
      <c r="I82" s="40">
        <v>4</v>
      </c>
      <c r="J82" s="40">
        <v>4</v>
      </c>
      <c r="L82" s="46">
        <v>9</v>
      </c>
      <c r="M82" s="40">
        <v>5.5</v>
      </c>
      <c r="N82" s="40">
        <v>1.5</v>
      </c>
      <c r="O82" s="40">
        <v>1.5</v>
      </c>
      <c r="P82" s="40">
        <v>5.5</v>
      </c>
      <c r="Q82" s="40">
        <v>5.5</v>
      </c>
      <c r="R82" s="40">
        <v>9</v>
      </c>
      <c r="S82" s="40">
        <v>5.5</v>
      </c>
      <c r="T82" s="40">
        <v>5.5</v>
      </c>
      <c r="U82" s="40">
        <v>5.5</v>
      </c>
      <c r="V82" s="1">
        <f t="shared" si="10"/>
        <v>45</v>
      </c>
      <c r="Z82" s="66" t="s">
        <v>140</v>
      </c>
      <c r="AA82" s="6">
        <f>J105</f>
        <v>3.4</v>
      </c>
      <c r="AB82" s="1">
        <f>O104</f>
        <v>149.5</v>
      </c>
    </row>
    <row r="83" spans="1:38" x14ac:dyDescent="0.25">
      <c r="A83" s="46">
        <v>10</v>
      </c>
      <c r="B83" s="40">
        <v>4</v>
      </c>
      <c r="C83" s="40">
        <v>2</v>
      </c>
      <c r="D83" s="40">
        <v>4</v>
      </c>
      <c r="E83" s="40">
        <v>4</v>
      </c>
      <c r="F83" s="40">
        <v>2</v>
      </c>
      <c r="G83" s="40">
        <v>2</v>
      </c>
      <c r="H83" s="40">
        <v>2</v>
      </c>
      <c r="I83" s="40">
        <v>4</v>
      </c>
      <c r="J83" s="40">
        <v>4</v>
      </c>
      <c r="L83" s="46">
        <v>10</v>
      </c>
      <c r="M83" s="40">
        <v>7</v>
      </c>
      <c r="N83" s="40">
        <v>2</v>
      </c>
      <c r="O83" s="40">
        <v>7</v>
      </c>
      <c r="P83" s="40">
        <v>7</v>
      </c>
      <c r="Q83" s="40">
        <v>2</v>
      </c>
      <c r="R83" s="40">
        <v>2</v>
      </c>
      <c r="S83" s="40">
        <v>2</v>
      </c>
      <c r="T83" s="40">
        <v>7</v>
      </c>
      <c r="U83" s="40">
        <v>7</v>
      </c>
      <c r="V83" s="1">
        <f t="shared" si="10"/>
        <v>43</v>
      </c>
      <c r="Z83" s="66" t="s">
        <v>141</v>
      </c>
      <c r="AA83" s="6">
        <f>B105</f>
        <v>3.7666666666666666</v>
      </c>
      <c r="AB83" s="1">
        <f>P104</f>
        <v>194</v>
      </c>
    </row>
    <row r="84" spans="1:38" x14ac:dyDescent="0.25">
      <c r="A84" s="46">
        <v>11</v>
      </c>
      <c r="B84" s="40">
        <v>4</v>
      </c>
      <c r="C84" s="40">
        <v>2</v>
      </c>
      <c r="D84" s="40">
        <v>4</v>
      </c>
      <c r="E84" s="40">
        <v>4</v>
      </c>
      <c r="F84" s="40">
        <v>2</v>
      </c>
      <c r="G84" s="40">
        <v>2</v>
      </c>
      <c r="H84" s="40">
        <v>2</v>
      </c>
      <c r="I84" s="40">
        <v>4</v>
      </c>
      <c r="J84" s="40">
        <v>4</v>
      </c>
      <c r="L84" s="46">
        <v>11</v>
      </c>
      <c r="M84" s="40">
        <v>7</v>
      </c>
      <c r="N84" s="40">
        <v>2.5</v>
      </c>
      <c r="O84" s="40">
        <v>7</v>
      </c>
      <c r="P84" s="40">
        <v>7</v>
      </c>
      <c r="Q84" s="40">
        <v>2.5</v>
      </c>
      <c r="R84" s="40">
        <v>2.5</v>
      </c>
      <c r="S84" s="40">
        <v>2.5</v>
      </c>
      <c r="T84" s="40">
        <v>7</v>
      </c>
      <c r="U84" s="40">
        <v>7</v>
      </c>
      <c r="V84" s="1">
        <f t="shared" si="10"/>
        <v>45</v>
      </c>
      <c r="Z84" s="66" t="s">
        <v>142</v>
      </c>
      <c r="AA84" s="6">
        <f>C105</f>
        <v>3.4333333333333331</v>
      </c>
      <c r="AB84" s="1">
        <f>Q104</f>
        <v>118</v>
      </c>
      <c r="AG84" s="1">
        <f>SUMSQ(AB80:AB88)</f>
        <v>205579</v>
      </c>
    </row>
    <row r="85" spans="1:38" x14ac:dyDescent="0.25">
      <c r="A85" s="46">
        <v>12</v>
      </c>
      <c r="B85" s="40">
        <v>5</v>
      </c>
      <c r="C85" s="40">
        <v>1</v>
      </c>
      <c r="D85" s="40">
        <v>2</v>
      </c>
      <c r="E85" s="40">
        <v>5</v>
      </c>
      <c r="F85" s="40">
        <v>4</v>
      </c>
      <c r="G85" s="40">
        <v>1</v>
      </c>
      <c r="H85" s="40">
        <v>2</v>
      </c>
      <c r="I85" s="40">
        <v>4</v>
      </c>
      <c r="J85" s="40">
        <v>5</v>
      </c>
      <c r="L85" s="46">
        <v>12</v>
      </c>
      <c r="M85" s="40">
        <v>8</v>
      </c>
      <c r="N85" s="40">
        <v>1.5</v>
      </c>
      <c r="O85" s="40">
        <v>3.5</v>
      </c>
      <c r="P85" s="40">
        <v>8</v>
      </c>
      <c r="Q85" s="40">
        <v>5.5</v>
      </c>
      <c r="R85" s="40">
        <v>1.5</v>
      </c>
      <c r="S85" s="40">
        <v>3.5</v>
      </c>
      <c r="T85" s="40">
        <v>5.5</v>
      </c>
      <c r="U85" s="40">
        <v>8</v>
      </c>
      <c r="V85" s="1">
        <f t="shared" si="10"/>
        <v>45</v>
      </c>
      <c r="Z85" s="66" t="s">
        <v>143</v>
      </c>
      <c r="AA85" s="6">
        <f>D105</f>
        <v>3.4</v>
      </c>
      <c r="AB85" s="1">
        <f>R104</f>
        <v>130.5</v>
      </c>
    </row>
    <row r="86" spans="1:38" x14ac:dyDescent="0.25">
      <c r="A86" s="46">
        <v>13</v>
      </c>
      <c r="B86" s="40">
        <v>5</v>
      </c>
      <c r="C86" s="40">
        <v>1</v>
      </c>
      <c r="D86" s="40">
        <v>2</v>
      </c>
      <c r="E86" s="40">
        <v>5</v>
      </c>
      <c r="F86" s="40">
        <v>4</v>
      </c>
      <c r="G86" s="40">
        <v>1</v>
      </c>
      <c r="H86" s="40">
        <v>2</v>
      </c>
      <c r="I86" s="40">
        <v>4</v>
      </c>
      <c r="J86" s="40">
        <v>5</v>
      </c>
      <c r="L86" s="46">
        <v>13</v>
      </c>
      <c r="M86" s="40">
        <v>3.5</v>
      </c>
      <c r="N86" s="40">
        <v>5.5</v>
      </c>
      <c r="O86" s="40">
        <v>8</v>
      </c>
      <c r="P86" s="40">
        <v>8</v>
      </c>
      <c r="Q86" s="40">
        <v>1.5</v>
      </c>
      <c r="R86" s="40">
        <v>3.5</v>
      </c>
      <c r="S86" s="40">
        <v>8</v>
      </c>
      <c r="T86" s="40">
        <v>5.5</v>
      </c>
      <c r="U86" s="40">
        <v>1.5</v>
      </c>
      <c r="V86" s="1">
        <f t="shared" si="10"/>
        <v>45</v>
      </c>
      <c r="Z86" s="66" t="s">
        <v>144</v>
      </c>
      <c r="AA86" s="6">
        <f>E105</f>
        <v>4.166666666666667</v>
      </c>
      <c r="AB86" s="1">
        <f>S104</f>
        <v>146</v>
      </c>
    </row>
    <row r="87" spans="1:38" x14ac:dyDescent="0.25">
      <c r="A87" s="46">
        <v>14</v>
      </c>
      <c r="B87" s="40">
        <v>2</v>
      </c>
      <c r="C87" s="40">
        <v>2</v>
      </c>
      <c r="D87" s="40">
        <v>2</v>
      </c>
      <c r="E87" s="40">
        <v>2</v>
      </c>
      <c r="F87" s="40">
        <v>2</v>
      </c>
      <c r="G87" s="40">
        <v>2</v>
      </c>
      <c r="H87" s="40">
        <v>2</v>
      </c>
      <c r="I87" s="40">
        <v>2</v>
      </c>
      <c r="J87" s="40">
        <v>2</v>
      </c>
      <c r="L87" s="46">
        <v>14</v>
      </c>
      <c r="M87" s="40">
        <v>5</v>
      </c>
      <c r="N87" s="40">
        <v>5</v>
      </c>
      <c r="O87" s="40">
        <v>5</v>
      </c>
      <c r="P87" s="40">
        <v>5</v>
      </c>
      <c r="Q87" s="40">
        <v>5</v>
      </c>
      <c r="R87" s="40">
        <v>5</v>
      </c>
      <c r="S87" s="40">
        <v>5</v>
      </c>
      <c r="T87" s="40">
        <v>5</v>
      </c>
      <c r="U87" s="40">
        <v>5</v>
      </c>
      <c r="V87" s="1">
        <f t="shared" si="10"/>
        <v>45</v>
      </c>
      <c r="Z87" s="66" t="s">
        <v>145</v>
      </c>
      <c r="AA87" s="6">
        <f>F105</f>
        <v>3.0333333333333332</v>
      </c>
      <c r="AB87" s="1">
        <f>T104</f>
        <v>155.5</v>
      </c>
    </row>
    <row r="88" spans="1:38" ht="16.5" thickBot="1" x14ac:dyDescent="0.3">
      <c r="A88" s="46">
        <v>15</v>
      </c>
      <c r="B88" s="40">
        <v>4</v>
      </c>
      <c r="C88" s="40">
        <v>4</v>
      </c>
      <c r="D88" s="40">
        <v>5</v>
      </c>
      <c r="E88" s="40">
        <v>5</v>
      </c>
      <c r="F88" s="40">
        <v>4</v>
      </c>
      <c r="G88" s="40">
        <v>4</v>
      </c>
      <c r="H88" s="40">
        <v>5</v>
      </c>
      <c r="I88" s="40">
        <v>4</v>
      </c>
      <c r="J88" s="40">
        <v>4</v>
      </c>
      <c r="L88" s="46">
        <v>15</v>
      </c>
      <c r="M88" s="40">
        <v>3.5</v>
      </c>
      <c r="N88" s="40">
        <v>3.5</v>
      </c>
      <c r="O88" s="40">
        <v>8</v>
      </c>
      <c r="P88" s="40">
        <v>8</v>
      </c>
      <c r="Q88" s="40">
        <v>3.5</v>
      </c>
      <c r="R88" s="40">
        <v>3.5</v>
      </c>
      <c r="S88" s="40">
        <v>8</v>
      </c>
      <c r="T88" s="40">
        <v>3.5</v>
      </c>
      <c r="U88" s="40">
        <v>3.5</v>
      </c>
      <c r="V88" s="1">
        <f t="shared" si="10"/>
        <v>45</v>
      </c>
      <c r="Z88" s="67" t="s">
        <v>146</v>
      </c>
      <c r="AA88" s="6">
        <f>G105</f>
        <v>3.2333333333333334</v>
      </c>
      <c r="AB88" s="1">
        <f>U104</f>
        <v>141</v>
      </c>
      <c r="AG88" s="1">
        <f>((3*30)*(9+1))</f>
        <v>900</v>
      </c>
      <c r="AI88" s="1" t="s">
        <v>132</v>
      </c>
      <c r="AJ88" s="64">
        <f>AL80-AG88</f>
        <v>13.684444444444466</v>
      </c>
    </row>
    <row r="89" spans="1:38" x14ac:dyDescent="0.25">
      <c r="A89" s="46">
        <v>16</v>
      </c>
      <c r="B89" s="40">
        <v>4</v>
      </c>
      <c r="C89" s="40">
        <v>4</v>
      </c>
      <c r="D89" s="40">
        <v>5</v>
      </c>
      <c r="E89" s="40">
        <v>4</v>
      </c>
      <c r="F89" s="40">
        <v>2</v>
      </c>
      <c r="G89" s="40">
        <v>5</v>
      </c>
      <c r="H89" s="40">
        <v>4</v>
      </c>
      <c r="I89" s="40">
        <v>4</v>
      </c>
      <c r="J89" s="40">
        <v>4</v>
      </c>
      <c r="L89" s="46">
        <v>16</v>
      </c>
      <c r="M89" s="40">
        <v>4.5</v>
      </c>
      <c r="N89" s="40">
        <v>4.5</v>
      </c>
      <c r="O89" s="40">
        <v>8.5</v>
      </c>
      <c r="P89" s="40">
        <v>4.5</v>
      </c>
      <c r="Q89" s="40">
        <v>1</v>
      </c>
      <c r="R89" s="40">
        <v>8.5</v>
      </c>
      <c r="S89" s="40">
        <v>4.5</v>
      </c>
      <c r="T89" s="40">
        <v>4.5</v>
      </c>
      <c r="U89" s="40">
        <v>4.5</v>
      </c>
      <c r="V89" s="1">
        <f t="shared" si="10"/>
        <v>45</v>
      </c>
      <c r="Z89" s="1" t="s">
        <v>73</v>
      </c>
      <c r="AA89" s="90" t="s">
        <v>28</v>
      </c>
      <c r="AB89" s="90"/>
      <c r="AI89" s="1" t="s">
        <v>128</v>
      </c>
      <c r="AJ89" s="64">
        <v>15.507</v>
      </c>
      <c r="AK89" s="1" t="s">
        <v>129</v>
      </c>
      <c r="AL89" s="1">
        <f>9-1</f>
        <v>8</v>
      </c>
    </row>
    <row r="90" spans="1:38" x14ac:dyDescent="0.25">
      <c r="A90" s="46">
        <v>17</v>
      </c>
      <c r="B90" s="40">
        <v>4</v>
      </c>
      <c r="C90" s="40">
        <v>4</v>
      </c>
      <c r="D90" s="40">
        <v>2</v>
      </c>
      <c r="E90" s="40">
        <v>4</v>
      </c>
      <c r="F90" s="40">
        <v>4</v>
      </c>
      <c r="G90" s="40">
        <v>4</v>
      </c>
      <c r="H90" s="40">
        <v>4</v>
      </c>
      <c r="I90" s="40">
        <v>2</v>
      </c>
      <c r="J90" s="40">
        <v>4</v>
      </c>
      <c r="L90" s="46">
        <v>17</v>
      </c>
      <c r="M90" s="40">
        <v>6</v>
      </c>
      <c r="N90" s="40">
        <v>6</v>
      </c>
      <c r="O90" s="40">
        <v>1.5</v>
      </c>
      <c r="P90" s="40">
        <v>6</v>
      </c>
      <c r="Q90" s="40">
        <v>6</v>
      </c>
      <c r="R90" s="40">
        <v>6</v>
      </c>
      <c r="S90" s="40">
        <v>6</v>
      </c>
      <c r="T90" s="40">
        <v>1.5</v>
      </c>
      <c r="U90" s="40">
        <v>6</v>
      </c>
      <c r="V90" s="1">
        <f t="shared" si="10"/>
        <v>45</v>
      </c>
      <c r="AI90" s="1" t="s">
        <v>130</v>
      </c>
    </row>
    <row r="91" spans="1:38" x14ac:dyDescent="0.25">
      <c r="A91" s="46">
        <v>18</v>
      </c>
      <c r="B91" s="40">
        <v>5</v>
      </c>
      <c r="C91" s="40">
        <v>5</v>
      </c>
      <c r="D91" s="40">
        <v>5</v>
      </c>
      <c r="E91" s="40">
        <v>5</v>
      </c>
      <c r="F91" s="40">
        <v>5</v>
      </c>
      <c r="G91" s="40">
        <v>4</v>
      </c>
      <c r="H91" s="40">
        <v>5</v>
      </c>
      <c r="I91" s="40">
        <v>5</v>
      </c>
      <c r="J91" s="40">
        <v>4</v>
      </c>
      <c r="L91" s="46">
        <v>18</v>
      </c>
      <c r="M91" s="40">
        <v>6.5</v>
      </c>
      <c r="N91" s="40">
        <v>6.5</v>
      </c>
      <c r="O91" s="40">
        <v>6.5</v>
      </c>
      <c r="P91" s="40">
        <v>6.5</v>
      </c>
      <c r="Q91" s="40">
        <v>6.5</v>
      </c>
      <c r="R91" s="40">
        <v>2</v>
      </c>
      <c r="S91" s="40">
        <v>2</v>
      </c>
      <c r="T91" s="40">
        <v>6.5</v>
      </c>
      <c r="U91" s="40">
        <v>2</v>
      </c>
      <c r="V91" s="1">
        <f t="shared" si="10"/>
        <v>45</v>
      </c>
    </row>
    <row r="92" spans="1:38" x14ac:dyDescent="0.25">
      <c r="A92" s="46">
        <v>19</v>
      </c>
      <c r="B92" s="40">
        <v>4</v>
      </c>
      <c r="C92" s="40">
        <v>2</v>
      </c>
      <c r="D92" s="40">
        <v>4</v>
      </c>
      <c r="E92" s="40">
        <v>4</v>
      </c>
      <c r="F92" s="40">
        <v>2</v>
      </c>
      <c r="G92" s="40">
        <v>2</v>
      </c>
      <c r="H92" s="40">
        <v>2</v>
      </c>
      <c r="I92" s="40">
        <v>4</v>
      </c>
      <c r="J92" s="40">
        <v>2</v>
      </c>
      <c r="L92" s="46">
        <v>19</v>
      </c>
      <c r="M92" s="40">
        <v>7.5</v>
      </c>
      <c r="N92" s="40">
        <v>3</v>
      </c>
      <c r="O92" s="40">
        <v>7.5</v>
      </c>
      <c r="P92" s="40">
        <v>7.5</v>
      </c>
      <c r="Q92" s="40">
        <v>3</v>
      </c>
      <c r="R92" s="40">
        <v>3</v>
      </c>
      <c r="S92" s="40">
        <v>3</v>
      </c>
      <c r="T92" s="40">
        <v>7.5</v>
      </c>
      <c r="U92" s="40">
        <v>3</v>
      </c>
      <c r="V92" s="1">
        <f t="shared" si="10"/>
        <v>45</v>
      </c>
    </row>
    <row r="93" spans="1:38" x14ac:dyDescent="0.25">
      <c r="A93" s="46">
        <v>20</v>
      </c>
      <c r="B93" s="40">
        <v>3</v>
      </c>
      <c r="C93" s="40">
        <v>3</v>
      </c>
      <c r="D93" s="40">
        <v>3</v>
      </c>
      <c r="E93" s="40">
        <v>5</v>
      </c>
      <c r="F93" s="40">
        <v>2</v>
      </c>
      <c r="G93" s="40">
        <v>2</v>
      </c>
      <c r="H93" s="40">
        <v>2</v>
      </c>
      <c r="I93" s="40">
        <v>4</v>
      </c>
      <c r="J93" s="40">
        <v>4</v>
      </c>
      <c r="L93" s="46">
        <v>20</v>
      </c>
      <c r="M93" s="40">
        <v>5</v>
      </c>
      <c r="N93" s="40">
        <v>5</v>
      </c>
      <c r="O93" s="40">
        <v>5</v>
      </c>
      <c r="P93" s="40">
        <v>9</v>
      </c>
      <c r="Q93" s="40">
        <v>2</v>
      </c>
      <c r="R93" s="40">
        <v>2</v>
      </c>
      <c r="S93" s="40">
        <v>2</v>
      </c>
      <c r="T93" s="40">
        <v>7.5</v>
      </c>
      <c r="U93" s="40">
        <v>7.5</v>
      </c>
      <c r="V93" s="1">
        <f t="shared" si="10"/>
        <v>45</v>
      </c>
    </row>
    <row r="94" spans="1:38" x14ac:dyDescent="0.25">
      <c r="A94" s="46">
        <v>21</v>
      </c>
      <c r="B94" s="40">
        <v>4</v>
      </c>
      <c r="C94" s="40">
        <v>3</v>
      </c>
      <c r="D94" s="40">
        <v>2</v>
      </c>
      <c r="E94" s="40">
        <v>2</v>
      </c>
      <c r="F94" s="40">
        <v>2</v>
      </c>
      <c r="G94" s="40">
        <v>4</v>
      </c>
      <c r="H94" s="40">
        <v>4</v>
      </c>
      <c r="I94" s="40">
        <v>3</v>
      </c>
      <c r="J94" s="40">
        <v>3</v>
      </c>
      <c r="L94" s="46">
        <v>21</v>
      </c>
      <c r="M94" s="40">
        <v>8</v>
      </c>
      <c r="N94" s="40">
        <v>5</v>
      </c>
      <c r="O94" s="40">
        <v>2</v>
      </c>
      <c r="P94" s="40">
        <v>2</v>
      </c>
      <c r="Q94" s="40">
        <v>2</v>
      </c>
      <c r="R94" s="40">
        <v>8</v>
      </c>
      <c r="S94" s="40">
        <v>8</v>
      </c>
      <c r="T94" s="40">
        <v>5</v>
      </c>
      <c r="U94" s="40">
        <v>5</v>
      </c>
      <c r="V94" s="1">
        <f t="shared" si="10"/>
        <v>45</v>
      </c>
    </row>
    <row r="95" spans="1:38" x14ac:dyDescent="0.25">
      <c r="A95" s="46">
        <v>22</v>
      </c>
      <c r="B95" s="40">
        <v>4</v>
      </c>
      <c r="C95" s="40">
        <v>4</v>
      </c>
      <c r="D95" s="40">
        <v>4</v>
      </c>
      <c r="E95" s="40">
        <v>4</v>
      </c>
      <c r="F95" s="40">
        <v>4</v>
      </c>
      <c r="G95" s="40">
        <v>4</v>
      </c>
      <c r="H95" s="40">
        <v>4</v>
      </c>
      <c r="I95" s="40">
        <v>4</v>
      </c>
      <c r="J95" s="40">
        <v>4</v>
      </c>
      <c r="L95" s="46">
        <v>22</v>
      </c>
      <c r="M95" s="40">
        <v>5</v>
      </c>
      <c r="N95" s="40">
        <v>5</v>
      </c>
      <c r="O95" s="40">
        <v>5</v>
      </c>
      <c r="P95" s="40">
        <v>5</v>
      </c>
      <c r="Q95" s="40">
        <v>5</v>
      </c>
      <c r="R95" s="40">
        <v>5</v>
      </c>
      <c r="S95" s="40">
        <v>5</v>
      </c>
      <c r="T95" s="40">
        <v>5</v>
      </c>
      <c r="U95" s="40">
        <v>5</v>
      </c>
      <c r="V95" s="1">
        <f t="shared" si="10"/>
        <v>45</v>
      </c>
    </row>
    <row r="96" spans="1:38" x14ac:dyDescent="0.25">
      <c r="A96" s="46">
        <v>23</v>
      </c>
      <c r="B96" s="40">
        <v>2</v>
      </c>
      <c r="C96" s="40">
        <v>4</v>
      </c>
      <c r="D96" s="40">
        <v>2</v>
      </c>
      <c r="E96" s="40">
        <v>5</v>
      </c>
      <c r="F96" s="40">
        <v>2</v>
      </c>
      <c r="G96" s="40">
        <v>2</v>
      </c>
      <c r="H96" s="40">
        <v>2</v>
      </c>
      <c r="I96" s="40">
        <v>4</v>
      </c>
      <c r="J96" s="40">
        <v>2</v>
      </c>
      <c r="L96" s="46">
        <v>23</v>
      </c>
      <c r="M96" s="40">
        <v>3.5</v>
      </c>
      <c r="N96" s="40">
        <v>7.5</v>
      </c>
      <c r="O96" s="40">
        <v>3.5</v>
      </c>
      <c r="P96" s="40">
        <v>9</v>
      </c>
      <c r="Q96" s="40">
        <v>3.5</v>
      </c>
      <c r="R96" s="40">
        <v>3.5</v>
      </c>
      <c r="S96" s="40">
        <v>3.5</v>
      </c>
      <c r="T96" s="40">
        <v>7.5</v>
      </c>
      <c r="U96" s="40">
        <v>3.5</v>
      </c>
      <c r="V96" s="1">
        <f t="shared" si="10"/>
        <v>45</v>
      </c>
    </row>
    <row r="97" spans="1:27" x14ac:dyDescent="0.25">
      <c r="A97" s="46">
        <v>24</v>
      </c>
      <c r="B97" s="40">
        <v>5</v>
      </c>
      <c r="C97" s="40">
        <v>3</v>
      </c>
      <c r="D97" s="40">
        <v>3</v>
      </c>
      <c r="E97" s="40">
        <v>5</v>
      </c>
      <c r="F97" s="40">
        <v>3</v>
      </c>
      <c r="G97" s="40">
        <v>2</v>
      </c>
      <c r="H97" s="40">
        <v>4</v>
      </c>
      <c r="I97" s="40">
        <v>3</v>
      </c>
      <c r="J97" s="40">
        <v>4</v>
      </c>
      <c r="L97" s="46">
        <v>24</v>
      </c>
      <c r="M97" s="40">
        <v>8.5</v>
      </c>
      <c r="N97" s="40">
        <v>3.5</v>
      </c>
      <c r="O97" s="40">
        <v>3.5</v>
      </c>
      <c r="P97" s="40">
        <v>8.5</v>
      </c>
      <c r="Q97" s="40">
        <v>3.5</v>
      </c>
      <c r="R97" s="40">
        <v>1</v>
      </c>
      <c r="S97" s="40">
        <v>6.5</v>
      </c>
      <c r="T97" s="40">
        <v>3.5</v>
      </c>
      <c r="U97" s="40">
        <v>6.5</v>
      </c>
      <c r="V97" s="1">
        <f t="shared" si="10"/>
        <v>45</v>
      </c>
    </row>
    <row r="98" spans="1:27" x14ac:dyDescent="0.25">
      <c r="A98" s="46">
        <v>25</v>
      </c>
      <c r="B98" s="40">
        <v>4</v>
      </c>
      <c r="C98" s="40">
        <v>4</v>
      </c>
      <c r="D98" s="40">
        <v>4</v>
      </c>
      <c r="E98" s="40">
        <v>4</v>
      </c>
      <c r="F98" s="40">
        <v>2</v>
      </c>
      <c r="G98" s="40">
        <v>4</v>
      </c>
      <c r="H98" s="40">
        <v>4</v>
      </c>
      <c r="I98" s="40">
        <v>4</v>
      </c>
      <c r="J98" s="40">
        <v>4</v>
      </c>
      <c r="L98" s="46">
        <v>25</v>
      </c>
      <c r="M98" s="40">
        <v>5.5</v>
      </c>
      <c r="N98" s="40">
        <v>5.5</v>
      </c>
      <c r="O98" s="40">
        <v>5.5</v>
      </c>
      <c r="P98" s="40">
        <v>5.5</v>
      </c>
      <c r="Q98" s="40">
        <v>5.5</v>
      </c>
      <c r="R98" s="40">
        <v>1</v>
      </c>
      <c r="S98" s="40">
        <v>5.5</v>
      </c>
      <c r="T98" s="40">
        <v>5.5</v>
      </c>
      <c r="U98" s="40">
        <v>5.5</v>
      </c>
      <c r="V98" s="1">
        <f t="shared" si="10"/>
        <v>45</v>
      </c>
    </row>
    <row r="99" spans="1:27" x14ac:dyDescent="0.25">
      <c r="A99" s="46">
        <v>26</v>
      </c>
      <c r="B99" s="40">
        <v>4</v>
      </c>
      <c r="C99" s="40">
        <v>4</v>
      </c>
      <c r="D99" s="40">
        <v>4</v>
      </c>
      <c r="E99" s="40">
        <v>4</v>
      </c>
      <c r="F99" s="40">
        <v>4</v>
      </c>
      <c r="G99" s="40">
        <v>3</v>
      </c>
      <c r="H99" s="40">
        <v>4</v>
      </c>
      <c r="I99" s="40">
        <v>4</v>
      </c>
      <c r="J99" s="40">
        <v>2</v>
      </c>
      <c r="L99" s="46">
        <v>26</v>
      </c>
      <c r="M99" s="40">
        <v>5.5</v>
      </c>
      <c r="N99" s="40">
        <v>5.5</v>
      </c>
      <c r="O99" s="40">
        <v>5.5</v>
      </c>
      <c r="P99" s="40">
        <v>5.5</v>
      </c>
      <c r="Q99" s="40">
        <v>5.5</v>
      </c>
      <c r="R99" s="40">
        <v>1</v>
      </c>
      <c r="S99" s="40">
        <v>5.5</v>
      </c>
      <c r="T99" s="40">
        <v>5.5</v>
      </c>
      <c r="U99" s="40">
        <v>5.5</v>
      </c>
      <c r="V99" s="1">
        <f t="shared" si="10"/>
        <v>45</v>
      </c>
    </row>
    <row r="100" spans="1:27" x14ac:dyDescent="0.25">
      <c r="A100" s="46">
        <v>27</v>
      </c>
      <c r="B100" s="40">
        <v>4</v>
      </c>
      <c r="C100" s="40">
        <v>4</v>
      </c>
      <c r="D100" s="40">
        <v>4</v>
      </c>
      <c r="E100" s="40">
        <v>5</v>
      </c>
      <c r="F100" s="40">
        <v>4</v>
      </c>
      <c r="G100" s="40">
        <v>4</v>
      </c>
      <c r="H100" s="40">
        <v>4</v>
      </c>
      <c r="I100" s="40">
        <v>4</v>
      </c>
      <c r="J100" s="40">
        <v>4</v>
      </c>
      <c r="L100" s="46">
        <v>27</v>
      </c>
      <c r="M100" s="40">
        <v>4.5</v>
      </c>
      <c r="N100" s="40">
        <v>4.5</v>
      </c>
      <c r="O100" s="40">
        <v>4.5</v>
      </c>
      <c r="P100" s="40">
        <v>9</v>
      </c>
      <c r="Q100" s="40">
        <v>4.5</v>
      </c>
      <c r="R100" s="40">
        <v>4.5</v>
      </c>
      <c r="S100" s="40">
        <v>4.5</v>
      </c>
      <c r="T100" s="40">
        <v>4.5</v>
      </c>
      <c r="U100" s="40">
        <v>4.5</v>
      </c>
      <c r="V100" s="1">
        <f t="shared" si="10"/>
        <v>45</v>
      </c>
    </row>
    <row r="101" spans="1:27" x14ac:dyDescent="0.25">
      <c r="A101" s="46">
        <v>28</v>
      </c>
      <c r="B101" s="40">
        <v>4</v>
      </c>
      <c r="C101" s="40">
        <v>4</v>
      </c>
      <c r="D101" s="40">
        <v>4</v>
      </c>
      <c r="E101" s="40">
        <v>4</v>
      </c>
      <c r="F101" s="40">
        <v>4</v>
      </c>
      <c r="G101" s="40">
        <v>4</v>
      </c>
      <c r="H101" s="40">
        <v>4</v>
      </c>
      <c r="I101" s="40">
        <v>4</v>
      </c>
      <c r="J101" s="40">
        <v>4</v>
      </c>
      <c r="L101" s="46">
        <v>28</v>
      </c>
      <c r="M101" s="40">
        <v>5</v>
      </c>
      <c r="N101" s="40">
        <v>5</v>
      </c>
      <c r="O101" s="40">
        <v>5</v>
      </c>
      <c r="P101" s="40">
        <v>5</v>
      </c>
      <c r="Q101" s="40">
        <v>5</v>
      </c>
      <c r="R101" s="40">
        <v>5</v>
      </c>
      <c r="S101" s="40">
        <v>5</v>
      </c>
      <c r="T101" s="40">
        <v>5</v>
      </c>
      <c r="U101" s="40">
        <v>5</v>
      </c>
      <c r="V101" s="1">
        <f t="shared" si="10"/>
        <v>45</v>
      </c>
    </row>
    <row r="102" spans="1:27" x14ac:dyDescent="0.25">
      <c r="A102" s="46">
        <v>29</v>
      </c>
      <c r="B102" s="40">
        <v>1</v>
      </c>
      <c r="C102" s="40">
        <v>4</v>
      </c>
      <c r="D102" s="40">
        <v>1</v>
      </c>
      <c r="E102" s="40">
        <v>4</v>
      </c>
      <c r="F102" s="40">
        <v>1</v>
      </c>
      <c r="G102" s="40">
        <v>2</v>
      </c>
      <c r="H102" s="40">
        <v>4</v>
      </c>
      <c r="I102" s="40">
        <v>4</v>
      </c>
      <c r="J102" s="40">
        <v>1</v>
      </c>
      <c r="L102" s="46">
        <v>29</v>
      </c>
      <c r="M102" s="40">
        <v>2.5</v>
      </c>
      <c r="N102" s="40">
        <v>7.5</v>
      </c>
      <c r="O102" s="40">
        <v>2.5</v>
      </c>
      <c r="P102" s="40">
        <v>7.5</v>
      </c>
      <c r="Q102" s="40">
        <v>2.5</v>
      </c>
      <c r="R102" s="40">
        <v>5</v>
      </c>
      <c r="S102" s="40">
        <v>7.5</v>
      </c>
      <c r="T102" s="40">
        <v>7.5</v>
      </c>
      <c r="U102" s="40">
        <v>2.5</v>
      </c>
      <c r="V102" s="1">
        <f t="shared" si="10"/>
        <v>45</v>
      </c>
    </row>
    <row r="103" spans="1:27" x14ac:dyDescent="0.25">
      <c r="A103" s="46">
        <v>30</v>
      </c>
      <c r="B103" s="40">
        <v>1</v>
      </c>
      <c r="C103" s="40">
        <v>4</v>
      </c>
      <c r="D103" s="40">
        <v>4</v>
      </c>
      <c r="E103" s="40">
        <v>4</v>
      </c>
      <c r="F103" s="40">
        <v>4</v>
      </c>
      <c r="G103" s="40">
        <v>4</v>
      </c>
      <c r="H103" s="40">
        <v>4</v>
      </c>
      <c r="I103" s="40">
        <v>1</v>
      </c>
      <c r="J103" s="40">
        <v>4</v>
      </c>
      <c r="L103" s="46">
        <v>30</v>
      </c>
      <c r="M103" s="40">
        <v>2</v>
      </c>
      <c r="N103" s="40">
        <v>6.5</v>
      </c>
      <c r="O103" s="40">
        <v>2</v>
      </c>
      <c r="P103" s="40">
        <v>6.5</v>
      </c>
      <c r="Q103" s="40">
        <v>6.5</v>
      </c>
      <c r="R103" s="40">
        <v>6.5</v>
      </c>
      <c r="S103" s="40">
        <v>6.5</v>
      </c>
      <c r="T103" s="40">
        <v>2</v>
      </c>
      <c r="U103" s="40">
        <v>6.5</v>
      </c>
      <c r="V103" s="1">
        <f t="shared" si="10"/>
        <v>45</v>
      </c>
    </row>
    <row r="104" spans="1:27" x14ac:dyDescent="0.25">
      <c r="A104" s="43" t="s">
        <v>68</v>
      </c>
      <c r="B104" s="39">
        <f>SUM(B74:B103)</f>
        <v>113</v>
      </c>
      <c r="C104" s="39">
        <f t="shared" ref="C104:J104" si="11">SUM(C74:C103)</f>
        <v>103</v>
      </c>
      <c r="D104" s="39">
        <f t="shared" si="11"/>
        <v>102</v>
      </c>
      <c r="E104" s="39">
        <f t="shared" si="11"/>
        <v>125</v>
      </c>
      <c r="F104" s="39">
        <f t="shared" si="11"/>
        <v>91</v>
      </c>
      <c r="G104" s="39">
        <f t="shared" si="11"/>
        <v>97</v>
      </c>
      <c r="H104" s="39">
        <f t="shared" si="11"/>
        <v>101</v>
      </c>
      <c r="I104" s="39">
        <f t="shared" si="11"/>
        <v>108</v>
      </c>
      <c r="J104" s="39">
        <f t="shared" si="11"/>
        <v>102</v>
      </c>
      <c r="L104" s="48" t="s">
        <v>68</v>
      </c>
      <c r="M104" s="39">
        <f>SUM(M74:M103)</f>
        <v>164.5</v>
      </c>
      <c r="N104" s="39">
        <f t="shared" ref="N104:U104" si="12">SUM(N74:N103)</f>
        <v>149</v>
      </c>
      <c r="O104" s="39">
        <f t="shared" si="12"/>
        <v>149.5</v>
      </c>
      <c r="P104" s="39">
        <f t="shared" si="12"/>
        <v>194</v>
      </c>
      <c r="Q104" s="39">
        <f t="shared" si="12"/>
        <v>118</v>
      </c>
      <c r="R104" s="39">
        <f t="shared" si="12"/>
        <v>130.5</v>
      </c>
      <c r="S104" s="39">
        <f t="shared" si="12"/>
        <v>146</v>
      </c>
      <c r="T104" s="39">
        <f t="shared" si="12"/>
        <v>155.5</v>
      </c>
      <c r="U104" s="39">
        <f t="shared" si="12"/>
        <v>141</v>
      </c>
    </row>
    <row r="105" spans="1:27" x14ac:dyDescent="0.25">
      <c r="A105" s="44" t="s">
        <v>69</v>
      </c>
      <c r="B105" s="45">
        <f>AVERAGE(B74:B103)</f>
        <v>3.7666666666666666</v>
      </c>
      <c r="C105" s="45">
        <f t="shared" ref="C105:J105" si="13">AVERAGE(C74:C103)</f>
        <v>3.4333333333333331</v>
      </c>
      <c r="D105" s="45">
        <f t="shared" si="13"/>
        <v>3.4</v>
      </c>
      <c r="E105" s="45">
        <f t="shared" si="13"/>
        <v>4.166666666666667</v>
      </c>
      <c r="F105" s="45">
        <f t="shared" si="13"/>
        <v>3.0333333333333332</v>
      </c>
      <c r="G105" s="45">
        <f t="shared" si="13"/>
        <v>3.2333333333333334</v>
      </c>
      <c r="H105" s="45">
        <f t="shared" si="13"/>
        <v>3.3666666666666667</v>
      </c>
      <c r="I105" s="45">
        <f t="shared" si="13"/>
        <v>3.6</v>
      </c>
      <c r="J105" s="45">
        <f t="shared" si="13"/>
        <v>3.4</v>
      </c>
      <c r="L105" s="47" t="s">
        <v>69</v>
      </c>
      <c r="M105" s="45">
        <f>AVERAGE(M74:M103)</f>
        <v>5.4833333333333334</v>
      </c>
      <c r="N105" s="45">
        <f t="shared" ref="N105:U105" si="14">AVERAGE(N74:N103)</f>
        <v>4.9666666666666668</v>
      </c>
      <c r="O105" s="45">
        <f t="shared" si="14"/>
        <v>4.9833333333333334</v>
      </c>
      <c r="P105" s="45">
        <f t="shared" si="14"/>
        <v>6.4666666666666668</v>
      </c>
      <c r="Q105" s="45">
        <f t="shared" si="14"/>
        <v>3.9333333333333331</v>
      </c>
      <c r="R105" s="45">
        <f t="shared" si="14"/>
        <v>4.3499999999999996</v>
      </c>
      <c r="S105" s="45">
        <f t="shared" si="14"/>
        <v>4.8666666666666663</v>
      </c>
      <c r="T105" s="45">
        <f t="shared" si="14"/>
        <v>5.1833333333333336</v>
      </c>
      <c r="U105" s="45">
        <f t="shared" si="14"/>
        <v>4.7</v>
      </c>
    </row>
    <row r="107" spans="1:27" x14ac:dyDescent="0.25">
      <c r="A107" s="99" t="s">
        <v>45</v>
      </c>
      <c r="B107" s="99" t="s">
        <v>46</v>
      </c>
      <c r="C107" s="99"/>
      <c r="D107" s="99"/>
      <c r="E107" s="99"/>
      <c r="F107" s="99"/>
      <c r="G107" s="99"/>
      <c r="H107" s="99"/>
      <c r="I107" s="99"/>
      <c r="J107" s="99"/>
      <c r="L107" s="99" t="s">
        <v>45</v>
      </c>
      <c r="M107" s="99" t="s">
        <v>46</v>
      </c>
      <c r="N107" s="99"/>
      <c r="O107" s="99"/>
      <c r="P107" s="99"/>
      <c r="Q107" s="99"/>
      <c r="R107" s="99"/>
      <c r="S107" s="99"/>
      <c r="T107" s="99"/>
      <c r="U107" s="99"/>
    </row>
    <row r="108" spans="1:27" x14ac:dyDescent="0.25">
      <c r="A108" s="99"/>
      <c r="B108" s="46">
        <v>813</v>
      </c>
      <c r="C108" s="46">
        <v>341</v>
      </c>
      <c r="D108" s="46">
        <v>792</v>
      </c>
      <c r="E108" s="46">
        <v>627</v>
      </c>
      <c r="F108" s="46">
        <v>303</v>
      </c>
      <c r="G108" s="46">
        <v>322</v>
      </c>
      <c r="H108" s="46">
        <v>852</v>
      </c>
      <c r="I108" s="46">
        <v>255</v>
      </c>
      <c r="J108" s="46">
        <v>942</v>
      </c>
      <c r="L108" s="99"/>
      <c r="M108" s="46" t="s">
        <v>8</v>
      </c>
      <c r="N108" s="46" t="s">
        <v>13</v>
      </c>
      <c r="O108" s="46" t="s">
        <v>17</v>
      </c>
      <c r="P108" s="46" t="s">
        <v>10</v>
      </c>
      <c r="Q108" s="46" t="s">
        <v>15</v>
      </c>
      <c r="R108" s="46" t="s">
        <v>18</v>
      </c>
      <c r="S108" s="46" t="s">
        <v>12</v>
      </c>
      <c r="T108" s="46" t="s">
        <v>16</v>
      </c>
      <c r="U108" s="46" t="s">
        <v>26</v>
      </c>
    </row>
    <row r="109" spans="1:27" x14ac:dyDescent="0.25">
      <c r="A109" s="46">
        <v>1</v>
      </c>
      <c r="B109" s="40">
        <v>2</v>
      </c>
      <c r="C109" s="40">
        <v>5</v>
      </c>
      <c r="D109" s="40">
        <v>4</v>
      </c>
      <c r="E109" s="40">
        <v>2</v>
      </c>
      <c r="F109" s="40">
        <v>4</v>
      </c>
      <c r="G109" s="40">
        <v>4</v>
      </c>
      <c r="H109" s="40">
        <v>2</v>
      </c>
      <c r="I109" s="40">
        <v>4</v>
      </c>
      <c r="J109" s="40">
        <v>5</v>
      </c>
      <c r="L109" s="46">
        <v>1</v>
      </c>
      <c r="M109" s="40">
        <v>2</v>
      </c>
      <c r="N109" s="40">
        <v>8.5</v>
      </c>
      <c r="O109" s="40">
        <v>5.5</v>
      </c>
      <c r="P109" s="40">
        <v>2</v>
      </c>
      <c r="Q109" s="40">
        <v>5.5</v>
      </c>
      <c r="R109" s="40">
        <v>5.5</v>
      </c>
      <c r="S109" s="40">
        <v>2</v>
      </c>
      <c r="T109" s="40">
        <v>5.5</v>
      </c>
      <c r="U109" s="40">
        <v>8.5</v>
      </c>
      <c r="V109" s="1">
        <f>SUM(M109:U109)</f>
        <v>45</v>
      </c>
      <c r="Z109" s="1" t="s">
        <v>7</v>
      </c>
      <c r="AA109" s="1">
        <f>(12/((30*9)*(9+1))*SUMSQ(M139:U139)-3*(30)*(9+1))</f>
        <v>21.924444444444475</v>
      </c>
    </row>
    <row r="110" spans="1:27" x14ac:dyDescent="0.25">
      <c r="A110" s="46">
        <v>2</v>
      </c>
      <c r="B110" s="40">
        <v>2</v>
      </c>
      <c r="C110" s="40">
        <v>4</v>
      </c>
      <c r="D110" s="40">
        <v>3</v>
      </c>
      <c r="E110" s="40">
        <v>4</v>
      </c>
      <c r="F110" s="40">
        <v>4</v>
      </c>
      <c r="G110" s="40">
        <v>2</v>
      </c>
      <c r="H110" s="40">
        <v>2</v>
      </c>
      <c r="I110" s="40">
        <v>4</v>
      </c>
      <c r="J110" s="40">
        <v>4</v>
      </c>
      <c r="L110" s="46">
        <v>2</v>
      </c>
      <c r="M110" s="40">
        <v>2</v>
      </c>
      <c r="N110" s="40">
        <v>7</v>
      </c>
      <c r="O110" s="40">
        <v>4</v>
      </c>
      <c r="P110" s="40">
        <v>7</v>
      </c>
      <c r="Q110" s="40">
        <v>7</v>
      </c>
      <c r="R110" s="40">
        <v>2</v>
      </c>
      <c r="S110" s="40">
        <v>2</v>
      </c>
      <c r="T110" s="40">
        <v>7</v>
      </c>
      <c r="U110" s="40">
        <v>7</v>
      </c>
      <c r="V110" s="1">
        <f t="shared" ref="V110:V138" si="15">SUM(M110:U110)</f>
        <v>45</v>
      </c>
      <c r="Z110" s="1" t="s">
        <v>70</v>
      </c>
      <c r="AA110" s="1">
        <f>_xlfn.CHISQ.INV.RT(0.05,8)</f>
        <v>15.507313055865453</v>
      </c>
    </row>
    <row r="111" spans="1:27" x14ac:dyDescent="0.25">
      <c r="A111" s="46">
        <v>3</v>
      </c>
      <c r="B111" s="40">
        <v>2</v>
      </c>
      <c r="C111" s="40">
        <v>4</v>
      </c>
      <c r="D111" s="40">
        <v>4</v>
      </c>
      <c r="E111" s="40">
        <v>4</v>
      </c>
      <c r="F111" s="40">
        <v>4</v>
      </c>
      <c r="G111" s="40">
        <v>4</v>
      </c>
      <c r="H111" s="40">
        <v>3</v>
      </c>
      <c r="I111" s="40">
        <v>4</v>
      </c>
      <c r="J111" s="40">
        <v>4</v>
      </c>
      <c r="L111" s="46">
        <v>3</v>
      </c>
      <c r="M111" s="40">
        <v>1</v>
      </c>
      <c r="N111" s="40">
        <v>6</v>
      </c>
      <c r="O111" s="40">
        <v>6</v>
      </c>
      <c r="P111" s="40">
        <v>6</v>
      </c>
      <c r="Q111" s="40">
        <v>6</v>
      </c>
      <c r="R111" s="40">
        <v>6</v>
      </c>
      <c r="S111" s="40">
        <v>2</v>
      </c>
      <c r="T111" s="40">
        <v>6</v>
      </c>
      <c r="U111" s="40">
        <v>6</v>
      </c>
      <c r="V111" s="1">
        <f t="shared" si="15"/>
        <v>45</v>
      </c>
    </row>
    <row r="112" spans="1:27" x14ac:dyDescent="0.25">
      <c r="A112" s="46">
        <v>4</v>
      </c>
      <c r="B112" s="40">
        <v>3</v>
      </c>
      <c r="C112" s="40">
        <v>4</v>
      </c>
      <c r="D112" s="40">
        <v>4</v>
      </c>
      <c r="E112" s="40">
        <v>4</v>
      </c>
      <c r="F112" s="40">
        <v>5</v>
      </c>
      <c r="G112" s="40">
        <v>5</v>
      </c>
      <c r="H112" s="40">
        <v>4</v>
      </c>
      <c r="I112" s="40">
        <v>4</v>
      </c>
      <c r="J112" s="40">
        <v>4</v>
      </c>
      <c r="L112" s="46">
        <v>4</v>
      </c>
      <c r="M112" s="40">
        <v>1</v>
      </c>
      <c r="N112" s="40">
        <v>4.5</v>
      </c>
      <c r="O112" s="40">
        <v>4.5</v>
      </c>
      <c r="P112" s="40">
        <v>4.5</v>
      </c>
      <c r="Q112" s="40">
        <v>8.5</v>
      </c>
      <c r="R112" s="40">
        <v>8.5</v>
      </c>
      <c r="S112" s="40">
        <v>4.5</v>
      </c>
      <c r="T112" s="40">
        <v>4.5</v>
      </c>
      <c r="U112" s="40">
        <v>4.5</v>
      </c>
      <c r="V112" s="1">
        <f t="shared" si="15"/>
        <v>45</v>
      </c>
      <c r="Z112" s="1" t="s">
        <v>71</v>
      </c>
      <c r="AA112" s="1" t="s">
        <v>75</v>
      </c>
    </row>
    <row r="113" spans="1:38" x14ac:dyDescent="0.25">
      <c r="A113" s="46">
        <v>5</v>
      </c>
      <c r="B113" s="40">
        <v>2</v>
      </c>
      <c r="C113" s="40">
        <v>4</v>
      </c>
      <c r="D113" s="40">
        <v>4</v>
      </c>
      <c r="E113" s="40">
        <v>4</v>
      </c>
      <c r="F113" s="40">
        <v>4</v>
      </c>
      <c r="G113" s="40">
        <v>4</v>
      </c>
      <c r="H113" s="40">
        <v>5</v>
      </c>
      <c r="I113" s="40">
        <v>5</v>
      </c>
      <c r="J113" s="40">
        <v>4</v>
      </c>
      <c r="L113" s="46">
        <v>5</v>
      </c>
      <c r="M113" s="40">
        <v>1</v>
      </c>
      <c r="N113" s="40">
        <v>4.5</v>
      </c>
      <c r="O113" s="40">
        <v>4.5</v>
      </c>
      <c r="P113" s="40">
        <v>4.5</v>
      </c>
      <c r="Q113" s="40">
        <v>4.5</v>
      </c>
      <c r="R113" s="40">
        <v>4.5</v>
      </c>
      <c r="S113" s="40">
        <v>8.5</v>
      </c>
      <c r="T113" s="40">
        <v>8.5</v>
      </c>
      <c r="U113" s="40">
        <v>4.5</v>
      </c>
      <c r="V113" s="1">
        <f t="shared" si="15"/>
        <v>45</v>
      </c>
    </row>
    <row r="114" spans="1:38" ht="16.5" thickBot="1" x14ac:dyDescent="0.3">
      <c r="A114" s="46">
        <v>6</v>
      </c>
      <c r="B114" s="40">
        <v>4</v>
      </c>
      <c r="C114" s="40">
        <v>4</v>
      </c>
      <c r="D114" s="40">
        <v>4</v>
      </c>
      <c r="E114" s="40">
        <v>5</v>
      </c>
      <c r="F114" s="40">
        <v>1</v>
      </c>
      <c r="G114" s="40">
        <v>1</v>
      </c>
      <c r="H114" s="40">
        <v>2</v>
      </c>
      <c r="I114" s="40">
        <v>5</v>
      </c>
      <c r="J114" s="40">
        <v>5</v>
      </c>
      <c r="L114" s="46">
        <v>6</v>
      </c>
      <c r="M114" s="40">
        <v>5</v>
      </c>
      <c r="N114" s="40">
        <v>5</v>
      </c>
      <c r="O114" s="40">
        <v>5</v>
      </c>
      <c r="P114" s="40">
        <v>8</v>
      </c>
      <c r="Q114" s="40">
        <v>1.5</v>
      </c>
      <c r="R114" s="40">
        <v>1.5</v>
      </c>
      <c r="S114" s="40">
        <v>3</v>
      </c>
      <c r="T114" s="40">
        <v>8</v>
      </c>
      <c r="U114" s="40">
        <v>8</v>
      </c>
      <c r="V114" s="1">
        <f t="shared" si="15"/>
        <v>45</v>
      </c>
      <c r="Z114" s="1" t="s">
        <v>0</v>
      </c>
      <c r="AA114" s="1" t="s">
        <v>49</v>
      </c>
      <c r="AB114" s="1" t="s">
        <v>72</v>
      </c>
    </row>
    <row r="115" spans="1:38" x14ac:dyDescent="0.25">
      <c r="A115" s="46">
        <v>7</v>
      </c>
      <c r="B115" s="40">
        <v>2</v>
      </c>
      <c r="C115" s="40">
        <v>4</v>
      </c>
      <c r="D115" s="40">
        <v>4</v>
      </c>
      <c r="E115" s="40">
        <v>3</v>
      </c>
      <c r="F115" s="40">
        <v>4</v>
      </c>
      <c r="G115" s="40">
        <v>2</v>
      </c>
      <c r="H115" s="40">
        <v>2</v>
      </c>
      <c r="I115" s="40">
        <v>4</v>
      </c>
      <c r="J115" s="40">
        <v>4</v>
      </c>
      <c r="L115" s="46">
        <v>7</v>
      </c>
      <c r="M115" s="40">
        <v>2</v>
      </c>
      <c r="N115" s="40">
        <v>7</v>
      </c>
      <c r="O115" s="40">
        <v>7</v>
      </c>
      <c r="P115" s="40">
        <v>4</v>
      </c>
      <c r="Q115" s="40">
        <v>7</v>
      </c>
      <c r="R115" s="40">
        <v>2</v>
      </c>
      <c r="S115" s="40">
        <v>2</v>
      </c>
      <c r="T115" s="40">
        <v>7</v>
      </c>
      <c r="U115" s="40">
        <v>7</v>
      </c>
      <c r="V115" s="1">
        <f t="shared" si="15"/>
        <v>45</v>
      </c>
      <c r="Z115" s="65" t="s">
        <v>147</v>
      </c>
      <c r="AA115" s="6">
        <f>H140</f>
        <v>2.7333333333333334</v>
      </c>
      <c r="AB115" s="1">
        <f>M139</f>
        <v>134.5</v>
      </c>
      <c r="AC115" s="1" t="s">
        <v>133</v>
      </c>
      <c r="AG115" s="1">
        <f>((30*9)*(9+1))</f>
        <v>2700</v>
      </c>
      <c r="AL115" s="1">
        <f>((12*AG119)/AG115)</f>
        <v>921.92444444444448</v>
      </c>
    </row>
    <row r="116" spans="1:38" x14ac:dyDescent="0.25">
      <c r="A116" s="46">
        <v>8</v>
      </c>
      <c r="B116" s="40">
        <v>4</v>
      </c>
      <c r="C116" s="40">
        <v>5</v>
      </c>
      <c r="D116" s="40">
        <v>2</v>
      </c>
      <c r="E116" s="40">
        <v>5</v>
      </c>
      <c r="F116" s="40">
        <v>4</v>
      </c>
      <c r="G116" s="40">
        <v>1</v>
      </c>
      <c r="H116" s="40">
        <v>2</v>
      </c>
      <c r="I116" s="40">
        <v>4</v>
      </c>
      <c r="J116" s="40">
        <v>4</v>
      </c>
      <c r="L116" s="46">
        <v>8</v>
      </c>
      <c r="M116" s="40">
        <v>5.5</v>
      </c>
      <c r="N116" s="40">
        <v>8.5</v>
      </c>
      <c r="O116" s="40">
        <v>1.5</v>
      </c>
      <c r="P116" s="40">
        <v>8.5</v>
      </c>
      <c r="Q116" s="40">
        <v>5.5</v>
      </c>
      <c r="R116" s="40">
        <v>1</v>
      </c>
      <c r="S116" s="40">
        <v>1.5</v>
      </c>
      <c r="T116" s="40">
        <v>5.5</v>
      </c>
      <c r="U116" s="40">
        <v>5.5</v>
      </c>
      <c r="V116" s="1">
        <f t="shared" si="15"/>
        <v>43</v>
      </c>
      <c r="Z116" s="66" t="s">
        <v>139</v>
      </c>
      <c r="AA116" s="6">
        <f>I140</f>
        <v>3.8333333333333335</v>
      </c>
      <c r="AB116" s="1">
        <f>N139</f>
        <v>167.5</v>
      </c>
      <c r="AC116" s="1" t="s">
        <v>135</v>
      </c>
    </row>
    <row r="117" spans="1:38" x14ac:dyDescent="0.25">
      <c r="A117" s="46">
        <v>9</v>
      </c>
      <c r="B117" s="40">
        <v>5</v>
      </c>
      <c r="C117" s="40">
        <v>2</v>
      </c>
      <c r="D117" s="40">
        <v>4</v>
      </c>
      <c r="E117" s="40">
        <v>2</v>
      </c>
      <c r="F117" s="40">
        <v>2</v>
      </c>
      <c r="G117" s="40">
        <v>1</v>
      </c>
      <c r="H117" s="40">
        <v>1</v>
      </c>
      <c r="I117" s="40">
        <v>2</v>
      </c>
      <c r="J117" s="40">
        <v>4</v>
      </c>
      <c r="L117" s="46">
        <v>9</v>
      </c>
      <c r="M117" s="40">
        <v>9</v>
      </c>
      <c r="N117" s="40">
        <v>4.5</v>
      </c>
      <c r="O117" s="40">
        <v>7.5</v>
      </c>
      <c r="P117" s="40">
        <v>4.5</v>
      </c>
      <c r="Q117" s="40">
        <v>4.5</v>
      </c>
      <c r="R117" s="40">
        <v>1.5</v>
      </c>
      <c r="S117" s="40">
        <v>1.5</v>
      </c>
      <c r="T117" s="40">
        <v>4.5</v>
      </c>
      <c r="U117" s="40">
        <v>7.5</v>
      </c>
      <c r="V117" s="1">
        <f t="shared" si="15"/>
        <v>45</v>
      </c>
      <c r="Z117" s="66" t="s">
        <v>140</v>
      </c>
      <c r="AA117" s="6">
        <f>J140</f>
        <v>3.8</v>
      </c>
      <c r="AB117" s="1">
        <f>O139</f>
        <v>162</v>
      </c>
      <c r="AC117" s="1" t="s">
        <v>136</v>
      </c>
    </row>
    <row r="118" spans="1:38" x14ac:dyDescent="0.25">
      <c r="A118" s="46">
        <v>10</v>
      </c>
      <c r="B118" s="40">
        <v>2</v>
      </c>
      <c r="C118" s="40">
        <v>2</v>
      </c>
      <c r="D118" s="40">
        <v>4</v>
      </c>
      <c r="E118" s="40">
        <v>4</v>
      </c>
      <c r="F118" s="40">
        <v>1</v>
      </c>
      <c r="G118" s="40">
        <v>2</v>
      </c>
      <c r="H118" s="40">
        <v>4</v>
      </c>
      <c r="I118" s="40">
        <v>5</v>
      </c>
      <c r="J118" s="40">
        <v>4</v>
      </c>
      <c r="L118" s="46">
        <v>10</v>
      </c>
      <c r="M118" s="40">
        <v>3</v>
      </c>
      <c r="N118" s="40">
        <v>3</v>
      </c>
      <c r="O118" s="40">
        <v>6.5</v>
      </c>
      <c r="P118" s="40">
        <v>6.5</v>
      </c>
      <c r="Q118" s="40">
        <v>1</v>
      </c>
      <c r="R118" s="40">
        <v>3</v>
      </c>
      <c r="S118" s="40">
        <v>6.5</v>
      </c>
      <c r="T118" s="40">
        <v>9</v>
      </c>
      <c r="U118" s="40">
        <v>6.5</v>
      </c>
      <c r="V118" s="1">
        <f t="shared" si="15"/>
        <v>45</v>
      </c>
      <c r="Z118" s="66" t="s">
        <v>141</v>
      </c>
      <c r="AA118" s="6">
        <f>B140</f>
        <v>3.2333333333333334</v>
      </c>
      <c r="AB118" s="1">
        <f>P139</f>
        <v>151.5</v>
      </c>
      <c r="AC118" s="1" t="s">
        <v>134</v>
      </c>
    </row>
    <row r="119" spans="1:38" x14ac:dyDescent="0.25">
      <c r="A119" s="46">
        <v>11</v>
      </c>
      <c r="B119" s="40">
        <v>2</v>
      </c>
      <c r="C119" s="40">
        <v>2</v>
      </c>
      <c r="D119" s="40">
        <v>4</v>
      </c>
      <c r="E119" s="40">
        <v>4</v>
      </c>
      <c r="F119" s="40">
        <v>1</v>
      </c>
      <c r="G119" s="40">
        <v>1</v>
      </c>
      <c r="H119" s="40">
        <v>2</v>
      </c>
      <c r="I119" s="40">
        <v>4</v>
      </c>
      <c r="J119" s="40">
        <v>2</v>
      </c>
      <c r="L119" s="46">
        <v>11</v>
      </c>
      <c r="M119" s="40">
        <v>4</v>
      </c>
      <c r="N119" s="40">
        <v>4</v>
      </c>
      <c r="O119" s="40">
        <v>7.5</v>
      </c>
      <c r="P119" s="40">
        <v>7.5</v>
      </c>
      <c r="Q119" s="40">
        <v>1.5</v>
      </c>
      <c r="R119" s="40">
        <v>1.5</v>
      </c>
      <c r="S119" s="40">
        <v>4</v>
      </c>
      <c r="T119" s="40">
        <v>7.5</v>
      </c>
      <c r="U119" s="40">
        <v>7.5</v>
      </c>
      <c r="V119" s="1">
        <f t="shared" si="15"/>
        <v>45</v>
      </c>
      <c r="Z119" s="66" t="s">
        <v>142</v>
      </c>
      <c r="AA119" s="6">
        <f>C140</f>
        <v>3.5333333333333332</v>
      </c>
      <c r="AB119" s="1">
        <f>Q139</f>
        <v>128</v>
      </c>
      <c r="AC119" s="1" t="s">
        <v>55</v>
      </c>
      <c r="AG119" s="1">
        <f>SUMSQ(AB115:AB123)</f>
        <v>207433</v>
      </c>
    </row>
    <row r="120" spans="1:38" x14ac:dyDescent="0.25">
      <c r="A120" s="46">
        <v>12</v>
      </c>
      <c r="B120" s="40">
        <v>5</v>
      </c>
      <c r="C120" s="40">
        <v>1</v>
      </c>
      <c r="D120" s="40">
        <v>1</v>
      </c>
      <c r="E120" s="40">
        <v>2</v>
      </c>
      <c r="F120" s="40">
        <v>5</v>
      </c>
      <c r="G120" s="40">
        <v>4</v>
      </c>
      <c r="H120" s="40">
        <v>1</v>
      </c>
      <c r="I120" s="40">
        <v>1</v>
      </c>
      <c r="J120" s="40">
        <v>1</v>
      </c>
      <c r="L120" s="46">
        <v>12</v>
      </c>
      <c r="M120" s="40">
        <v>8.5</v>
      </c>
      <c r="N120" s="40">
        <v>3</v>
      </c>
      <c r="O120" s="40">
        <v>3</v>
      </c>
      <c r="P120" s="40">
        <v>6</v>
      </c>
      <c r="Q120" s="40">
        <v>8.5</v>
      </c>
      <c r="R120" s="40">
        <v>7</v>
      </c>
      <c r="S120" s="40">
        <v>3</v>
      </c>
      <c r="T120" s="40">
        <v>3</v>
      </c>
      <c r="U120" s="40">
        <v>3</v>
      </c>
      <c r="V120" s="1">
        <f t="shared" si="15"/>
        <v>45</v>
      </c>
      <c r="Z120" s="66" t="s">
        <v>143</v>
      </c>
      <c r="AA120" s="6">
        <f>D140</f>
        <v>3.5333333333333332</v>
      </c>
      <c r="AB120" s="1">
        <f>R139</f>
        <v>122</v>
      </c>
      <c r="AC120" s="1" t="s">
        <v>57</v>
      </c>
    </row>
    <row r="121" spans="1:38" x14ac:dyDescent="0.25">
      <c r="A121" s="46">
        <v>13</v>
      </c>
      <c r="B121" s="40">
        <v>5</v>
      </c>
      <c r="C121" s="40">
        <v>1</v>
      </c>
      <c r="D121" s="40">
        <v>1</v>
      </c>
      <c r="E121" s="40">
        <v>2</v>
      </c>
      <c r="F121" s="40">
        <v>5</v>
      </c>
      <c r="G121" s="40">
        <v>4</v>
      </c>
      <c r="H121" s="40">
        <v>1</v>
      </c>
      <c r="I121" s="40">
        <v>1</v>
      </c>
      <c r="J121" s="40">
        <v>1</v>
      </c>
      <c r="L121" s="46">
        <v>13</v>
      </c>
      <c r="M121" s="40">
        <v>8.5</v>
      </c>
      <c r="N121" s="40">
        <v>3</v>
      </c>
      <c r="O121" s="40">
        <v>3</v>
      </c>
      <c r="P121" s="40">
        <v>6</v>
      </c>
      <c r="Q121" s="40">
        <v>8.5</v>
      </c>
      <c r="R121" s="40">
        <v>7</v>
      </c>
      <c r="S121" s="40">
        <v>3</v>
      </c>
      <c r="T121" s="40">
        <v>3</v>
      </c>
      <c r="U121" s="40">
        <v>3</v>
      </c>
      <c r="V121" s="1">
        <f t="shared" si="15"/>
        <v>45</v>
      </c>
      <c r="Z121" s="66" t="s">
        <v>144</v>
      </c>
      <c r="AA121" s="6">
        <f>E140</f>
        <v>3.3333333333333335</v>
      </c>
      <c r="AB121" s="1">
        <f>S139</f>
        <v>114.5</v>
      </c>
      <c r="AC121" s="1" t="s">
        <v>59</v>
      </c>
    </row>
    <row r="122" spans="1:38" x14ac:dyDescent="0.25">
      <c r="A122" s="46">
        <v>14</v>
      </c>
      <c r="B122" s="40">
        <v>1</v>
      </c>
      <c r="C122" s="40">
        <v>1</v>
      </c>
      <c r="D122" s="40">
        <v>4</v>
      </c>
      <c r="E122" s="40">
        <v>1</v>
      </c>
      <c r="F122" s="40">
        <v>1</v>
      </c>
      <c r="G122" s="40">
        <v>2</v>
      </c>
      <c r="H122" s="40">
        <v>1</v>
      </c>
      <c r="I122" s="40">
        <v>4</v>
      </c>
      <c r="J122" s="40">
        <v>4</v>
      </c>
      <c r="L122" s="46">
        <v>14</v>
      </c>
      <c r="M122" s="40">
        <v>3</v>
      </c>
      <c r="N122" s="40">
        <v>3</v>
      </c>
      <c r="O122" s="40">
        <v>8</v>
      </c>
      <c r="P122" s="40">
        <v>3</v>
      </c>
      <c r="Q122" s="40">
        <v>3</v>
      </c>
      <c r="R122" s="40">
        <v>6</v>
      </c>
      <c r="S122" s="40">
        <v>3</v>
      </c>
      <c r="T122" s="40">
        <v>8</v>
      </c>
      <c r="U122" s="40">
        <v>8</v>
      </c>
      <c r="V122" s="1">
        <f t="shared" si="15"/>
        <v>45</v>
      </c>
      <c r="Z122" s="66" t="s">
        <v>145</v>
      </c>
      <c r="AA122" s="6">
        <f>F140</f>
        <v>2.9666666666666668</v>
      </c>
      <c r="AB122" s="1">
        <f>T139</f>
        <v>184</v>
      </c>
      <c r="AC122" s="1" t="s">
        <v>137</v>
      </c>
    </row>
    <row r="123" spans="1:38" ht="16.5" thickBot="1" x14ac:dyDescent="0.3">
      <c r="A123" s="46">
        <v>15</v>
      </c>
      <c r="B123" s="40">
        <v>2</v>
      </c>
      <c r="C123" s="40">
        <v>4</v>
      </c>
      <c r="D123" s="40">
        <v>2</v>
      </c>
      <c r="E123" s="40">
        <v>4</v>
      </c>
      <c r="F123" s="40">
        <v>2</v>
      </c>
      <c r="G123" s="40">
        <v>2</v>
      </c>
      <c r="H123" s="40">
        <v>2</v>
      </c>
      <c r="I123" s="40">
        <v>4</v>
      </c>
      <c r="J123" s="40">
        <v>2</v>
      </c>
      <c r="L123" s="46">
        <v>15</v>
      </c>
      <c r="M123" s="40">
        <v>3.5</v>
      </c>
      <c r="N123" s="40">
        <v>8</v>
      </c>
      <c r="O123" s="40">
        <v>3.5</v>
      </c>
      <c r="P123" s="40">
        <v>8</v>
      </c>
      <c r="Q123" s="40">
        <v>3.5</v>
      </c>
      <c r="R123" s="40">
        <v>3.5</v>
      </c>
      <c r="S123" s="40">
        <v>3.5</v>
      </c>
      <c r="T123" s="40">
        <v>8</v>
      </c>
      <c r="U123" s="40">
        <v>3.5</v>
      </c>
      <c r="V123" s="1">
        <f t="shared" si="15"/>
        <v>45</v>
      </c>
      <c r="Z123" s="67" t="s">
        <v>146</v>
      </c>
      <c r="AA123" s="6">
        <f>G140</f>
        <v>2.8</v>
      </c>
      <c r="AB123" s="1">
        <f>U139</f>
        <v>184</v>
      </c>
      <c r="AC123" s="1" t="s">
        <v>137</v>
      </c>
      <c r="AG123" s="1">
        <f>((3*30)*(9+1))</f>
        <v>900</v>
      </c>
      <c r="AI123" s="1" t="s">
        <v>127</v>
      </c>
      <c r="AJ123" s="64">
        <f>AL115-AG123</f>
        <v>21.924444444444475</v>
      </c>
    </row>
    <row r="124" spans="1:38" x14ac:dyDescent="0.25">
      <c r="A124" s="46">
        <v>16</v>
      </c>
      <c r="B124" s="40">
        <v>5</v>
      </c>
      <c r="C124" s="40">
        <v>4</v>
      </c>
      <c r="D124" s="40">
        <v>4</v>
      </c>
      <c r="E124" s="40">
        <v>2</v>
      </c>
      <c r="F124" s="40">
        <v>4</v>
      </c>
      <c r="G124" s="40">
        <v>4</v>
      </c>
      <c r="H124" s="40">
        <v>2</v>
      </c>
      <c r="I124" s="40">
        <v>4</v>
      </c>
      <c r="J124" s="40">
        <v>5</v>
      </c>
      <c r="L124" s="46">
        <v>16</v>
      </c>
      <c r="M124" s="40">
        <v>8.5</v>
      </c>
      <c r="N124" s="40">
        <v>5</v>
      </c>
      <c r="O124" s="40">
        <v>5</v>
      </c>
      <c r="P124" s="40">
        <v>1.5</v>
      </c>
      <c r="Q124" s="40">
        <v>5</v>
      </c>
      <c r="R124" s="40">
        <v>5</v>
      </c>
      <c r="S124" s="40">
        <v>1.5</v>
      </c>
      <c r="T124" s="40">
        <v>5</v>
      </c>
      <c r="U124" s="40">
        <v>8.5</v>
      </c>
      <c r="V124" s="1">
        <f t="shared" si="15"/>
        <v>45</v>
      </c>
      <c r="Z124" s="1" t="s">
        <v>73</v>
      </c>
      <c r="AA124" s="100">
        <f>1.645*SQRT(30*9*(9+1)/6)</f>
        <v>34.895719651556121</v>
      </c>
      <c r="AB124" s="100"/>
      <c r="AC124" s="100"/>
    </row>
    <row r="125" spans="1:38" x14ac:dyDescent="0.25">
      <c r="A125" s="46">
        <v>17</v>
      </c>
      <c r="B125" s="40">
        <v>4</v>
      </c>
      <c r="C125" s="40">
        <v>2</v>
      </c>
      <c r="D125" s="40">
        <v>2</v>
      </c>
      <c r="E125" s="40">
        <v>2</v>
      </c>
      <c r="F125" s="40">
        <v>2</v>
      </c>
      <c r="G125" s="40">
        <v>4</v>
      </c>
      <c r="H125" s="40">
        <v>4</v>
      </c>
      <c r="I125" s="40">
        <v>2</v>
      </c>
      <c r="J125" s="40">
        <v>4</v>
      </c>
      <c r="L125" s="46">
        <v>17</v>
      </c>
      <c r="M125" s="40">
        <v>7.5</v>
      </c>
      <c r="N125" s="40">
        <v>3</v>
      </c>
      <c r="O125" s="40">
        <v>3</v>
      </c>
      <c r="P125" s="40">
        <v>3</v>
      </c>
      <c r="Q125" s="40">
        <v>3</v>
      </c>
      <c r="R125" s="40">
        <v>7.5</v>
      </c>
      <c r="S125" s="40">
        <v>7.5</v>
      </c>
      <c r="T125" s="40">
        <v>3</v>
      </c>
      <c r="U125" s="40">
        <v>7.5</v>
      </c>
      <c r="V125" s="1">
        <f t="shared" si="15"/>
        <v>45</v>
      </c>
      <c r="AA125" s="27"/>
      <c r="AB125" s="27"/>
      <c r="AI125" s="1" t="s">
        <v>128</v>
      </c>
      <c r="AJ125" s="64">
        <v>15.507</v>
      </c>
      <c r="AK125" s="1" t="s">
        <v>129</v>
      </c>
      <c r="AL125" s="1">
        <f>9-1</f>
        <v>8</v>
      </c>
    </row>
    <row r="126" spans="1:38" x14ac:dyDescent="0.25">
      <c r="A126" s="46">
        <v>18</v>
      </c>
      <c r="B126" s="40">
        <v>5</v>
      </c>
      <c r="C126" s="40">
        <v>5</v>
      </c>
      <c r="D126" s="40">
        <v>5</v>
      </c>
      <c r="E126" s="40">
        <v>5</v>
      </c>
      <c r="F126" s="40">
        <v>5</v>
      </c>
      <c r="G126" s="40">
        <v>5</v>
      </c>
      <c r="H126" s="40">
        <v>4</v>
      </c>
      <c r="I126" s="40">
        <v>5</v>
      </c>
      <c r="J126" s="40">
        <v>4</v>
      </c>
      <c r="L126" s="46">
        <v>18</v>
      </c>
      <c r="M126" s="40">
        <v>6</v>
      </c>
      <c r="N126" s="40">
        <v>6</v>
      </c>
      <c r="O126" s="40">
        <v>6</v>
      </c>
      <c r="P126" s="40">
        <v>6</v>
      </c>
      <c r="Q126" s="40">
        <v>6</v>
      </c>
      <c r="R126" s="40">
        <v>6</v>
      </c>
      <c r="S126" s="40">
        <v>1.5</v>
      </c>
      <c r="T126" s="40">
        <v>6</v>
      </c>
      <c r="U126" s="40">
        <v>1.5</v>
      </c>
      <c r="V126" s="1">
        <f t="shared" si="15"/>
        <v>45</v>
      </c>
      <c r="Z126" s="1" t="s">
        <v>0</v>
      </c>
      <c r="AA126" s="1" t="s">
        <v>49</v>
      </c>
      <c r="AB126" s="1" t="s">
        <v>72</v>
      </c>
      <c r="AC126" s="1" t="s">
        <v>138</v>
      </c>
      <c r="AD126" s="1" t="s">
        <v>97</v>
      </c>
      <c r="AI126" s="1" t="s">
        <v>130</v>
      </c>
    </row>
    <row r="127" spans="1:38" x14ac:dyDescent="0.25">
      <c r="A127" s="46">
        <v>19</v>
      </c>
      <c r="B127" s="40">
        <v>4</v>
      </c>
      <c r="C127" s="40">
        <v>4</v>
      </c>
      <c r="D127" s="40">
        <v>4</v>
      </c>
      <c r="E127" s="40">
        <v>2</v>
      </c>
      <c r="F127" s="40">
        <v>2</v>
      </c>
      <c r="G127" s="40">
        <v>2</v>
      </c>
      <c r="H127" s="40">
        <v>2</v>
      </c>
      <c r="I127" s="40">
        <v>4</v>
      </c>
      <c r="J127" s="40">
        <v>2</v>
      </c>
      <c r="L127" s="46">
        <v>19</v>
      </c>
      <c r="M127" s="40">
        <v>7.5</v>
      </c>
      <c r="N127" s="40">
        <v>7.5</v>
      </c>
      <c r="O127" s="40">
        <v>7.5</v>
      </c>
      <c r="P127" s="40">
        <v>3</v>
      </c>
      <c r="Q127" s="40">
        <v>3</v>
      </c>
      <c r="R127" s="40">
        <v>3</v>
      </c>
      <c r="S127" s="40">
        <v>3</v>
      </c>
      <c r="T127" s="40">
        <v>7.5</v>
      </c>
      <c r="U127" s="40">
        <v>3</v>
      </c>
      <c r="V127" s="1">
        <f t="shared" si="15"/>
        <v>45</v>
      </c>
      <c r="Z127" s="1" t="str">
        <f>Z121</f>
        <v>T1P3 (siwalan 50%; nanas 50% dan kosentrasi putih telur 15%)</v>
      </c>
      <c r="AA127" s="6">
        <f>AA121</f>
        <v>3.3333333333333335</v>
      </c>
      <c r="AB127" s="1">
        <f>AB121</f>
        <v>114.5</v>
      </c>
      <c r="AC127" s="6">
        <f>AB127+AA124</f>
        <v>149.39571965155613</v>
      </c>
      <c r="AD127" s="1" t="s">
        <v>59</v>
      </c>
    </row>
    <row r="128" spans="1:38" x14ac:dyDescent="0.25">
      <c r="A128" s="46">
        <v>20</v>
      </c>
      <c r="B128" s="40">
        <v>2</v>
      </c>
      <c r="C128" s="40">
        <v>4</v>
      </c>
      <c r="D128" s="40">
        <v>3</v>
      </c>
      <c r="E128" s="40">
        <v>2</v>
      </c>
      <c r="F128" s="40">
        <v>1</v>
      </c>
      <c r="G128" s="40">
        <v>2</v>
      </c>
      <c r="H128" s="40">
        <v>2</v>
      </c>
      <c r="I128" s="40">
        <v>5</v>
      </c>
      <c r="J128" s="40">
        <v>4</v>
      </c>
      <c r="L128" s="46">
        <v>20</v>
      </c>
      <c r="M128" s="40">
        <v>3.5</v>
      </c>
      <c r="N128" s="40">
        <v>7.5</v>
      </c>
      <c r="O128" s="40">
        <v>6</v>
      </c>
      <c r="P128" s="40">
        <v>3.5</v>
      </c>
      <c r="Q128" s="40">
        <v>1</v>
      </c>
      <c r="R128" s="40">
        <v>3.5</v>
      </c>
      <c r="S128" s="40">
        <v>3.5</v>
      </c>
      <c r="T128" s="40">
        <v>9</v>
      </c>
      <c r="U128" s="40">
        <v>7.5</v>
      </c>
      <c r="V128" s="1">
        <f t="shared" si="15"/>
        <v>45</v>
      </c>
      <c r="Z128" s="1" t="str">
        <f>Z120</f>
        <v>T3P2 (siwalan 90%; nanas 10%  dan kosentrasi putih telur 10%)</v>
      </c>
      <c r="AA128" s="6">
        <f>AA120</f>
        <v>3.5333333333333332</v>
      </c>
      <c r="AB128" s="1">
        <f>AB120</f>
        <v>122</v>
      </c>
      <c r="AC128" s="6">
        <f>AB128+AA124</f>
        <v>156.89571965155613</v>
      </c>
      <c r="AD128" s="1" t="s">
        <v>57</v>
      </c>
    </row>
    <row r="129" spans="1:30" x14ac:dyDescent="0.25">
      <c r="A129" s="46">
        <v>21</v>
      </c>
      <c r="B129" s="40">
        <v>4</v>
      </c>
      <c r="C129" s="40">
        <v>4</v>
      </c>
      <c r="D129" s="40">
        <v>5</v>
      </c>
      <c r="E129" s="40">
        <v>5</v>
      </c>
      <c r="F129" s="40">
        <v>2</v>
      </c>
      <c r="G129" s="40">
        <v>3</v>
      </c>
      <c r="H129" s="40">
        <v>2</v>
      </c>
      <c r="I129" s="40">
        <v>5</v>
      </c>
      <c r="J129" s="40">
        <v>3</v>
      </c>
      <c r="L129" s="46">
        <v>21</v>
      </c>
      <c r="M129" s="40">
        <v>5.5</v>
      </c>
      <c r="N129" s="40">
        <v>5.5</v>
      </c>
      <c r="O129" s="40">
        <v>8</v>
      </c>
      <c r="P129" s="40">
        <v>8</v>
      </c>
      <c r="Q129" s="40">
        <v>1.5</v>
      </c>
      <c r="R129" s="40">
        <v>3.5</v>
      </c>
      <c r="S129" s="40">
        <v>1.5</v>
      </c>
      <c r="T129" s="40">
        <v>8</v>
      </c>
      <c r="U129" s="40">
        <v>3.5</v>
      </c>
      <c r="V129" s="1">
        <f t="shared" si="15"/>
        <v>45</v>
      </c>
      <c r="Z129" s="1" t="str">
        <f>Z119</f>
        <v>T2P2 (siwalan 70%; nanas 30% dan kosentrasi putih telur 10%)</v>
      </c>
      <c r="AA129" s="6">
        <f>AA119</f>
        <v>3.5333333333333332</v>
      </c>
      <c r="AB129" s="1">
        <f>AB119</f>
        <v>128</v>
      </c>
      <c r="AC129" s="6">
        <f>AB129+AA124</f>
        <v>162.89571965155613</v>
      </c>
      <c r="AD129" s="1" t="s">
        <v>55</v>
      </c>
    </row>
    <row r="130" spans="1:30" x14ac:dyDescent="0.25">
      <c r="A130" s="46">
        <v>22</v>
      </c>
      <c r="B130" s="40">
        <v>2</v>
      </c>
      <c r="C130" s="40">
        <v>4</v>
      </c>
      <c r="D130" s="40">
        <v>2</v>
      </c>
      <c r="E130" s="40">
        <v>4</v>
      </c>
      <c r="F130" s="40">
        <v>2</v>
      </c>
      <c r="G130" s="40">
        <v>1</v>
      </c>
      <c r="H130" s="40">
        <v>4</v>
      </c>
      <c r="I130" s="40">
        <v>2</v>
      </c>
      <c r="J130" s="40">
        <v>5</v>
      </c>
      <c r="L130" s="46">
        <v>22</v>
      </c>
      <c r="M130" s="40">
        <v>3.5</v>
      </c>
      <c r="N130" s="40">
        <v>7</v>
      </c>
      <c r="O130" s="40">
        <v>3.5</v>
      </c>
      <c r="P130" s="40">
        <v>7</v>
      </c>
      <c r="Q130" s="40">
        <v>3.5</v>
      </c>
      <c r="R130" s="40">
        <v>1</v>
      </c>
      <c r="S130" s="40">
        <v>7</v>
      </c>
      <c r="T130" s="40">
        <v>3.5</v>
      </c>
      <c r="U130" s="40">
        <v>9</v>
      </c>
      <c r="V130" s="1">
        <f t="shared" si="15"/>
        <v>45</v>
      </c>
      <c r="Z130" s="1" t="str">
        <f>Z115</f>
        <v>T1P1 (siwalan 50%; nanas 50% dan kosentrasi putih telur 5%)</v>
      </c>
      <c r="AA130" s="6">
        <f>AA115</f>
        <v>2.7333333333333334</v>
      </c>
      <c r="AB130" s="1">
        <f>AB115</f>
        <v>134.5</v>
      </c>
      <c r="AC130" s="6">
        <f>AB130+AA124</f>
        <v>169.39571965155613</v>
      </c>
      <c r="AD130" s="1" t="s">
        <v>133</v>
      </c>
    </row>
    <row r="131" spans="1:30" x14ac:dyDescent="0.25">
      <c r="A131" s="46">
        <v>23</v>
      </c>
      <c r="B131" s="40">
        <v>2</v>
      </c>
      <c r="C131" s="40">
        <v>5</v>
      </c>
      <c r="D131" s="40">
        <v>4</v>
      </c>
      <c r="E131" s="40">
        <v>2</v>
      </c>
      <c r="F131" s="40">
        <v>4</v>
      </c>
      <c r="G131" s="40">
        <v>4</v>
      </c>
      <c r="H131" s="40">
        <v>2</v>
      </c>
      <c r="I131" s="40">
        <v>4</v>
      </c>
      <c r="J131" s="40">
        <v>5</v>
      </c>
      <c r="L131" s="46">
        <v>23</v>
      </c>
      <c r="M131" s="40">
        <v>2</v>
      </c>
      <c r="N131" s="40">
        <v>8.5</v>
      </c>
      <c r="O131" s="40">
        <v>5.5</v>
      </c>
      <c r="P131" s="40">
        <v>2</v>
      </c>
      <c r="Q131" s="40">
        <v>5.5</v>
      </c>
      <c r="R131" s="40">
        <v>5.5</v>
      </c>
      <c r="S131" s="40">
        <v>2</v>
      </c>
      <c r="T131" s="40">
        <v>5.5</v>
      </c>
      <c r="U131" s="40">
        <v>8.5</v>
      </c>
      <c r="V131" s="1">
        <f t="shared" si="15"/>
        <v>45</v>
      </c>
      <c r="Z131" s="1" t="str">
        <f>Z118</f>
        <v>T1P2 (siwalan 50%; nanas 50% dan kosentrasi putih telur 10%)</v>
      </c>
      <c r="AA131" s="6">
        <f>AA118</f>
        <v>3.2333333333333334</v>
      </c>
      <c r="AB131" s="1">
        <f>AB118</f>
        <v>151.5</v>
      </c>
      <c r="AC131" s="6">
        <f>AB131+AA124</f>
        <v>186.39571965155613</v>
      </c>
      <c r="AD131" s="1" t="s">
        <v>134</v>
      </c>
    </row>
    <row r="132" spans="1:30" x14ac:dyDescent="0.25">
      <c r="A132" s="46">
        <v>24</v>
      </c>
      <c r="B132" s="40">
        <v>3</v>
      </c>
      <c r="C132" s="40">
        <v>5</v>
      </c>
      <c r="D132" s="40">
        <v>2</v>
      </c>
      <c r="E132" s="40">
        <v>3</v>
      </c>
      <c r="F132" s="40">
        <v>2</v>
      </c>
      <c r="G132" s="40">
        <v>1</v>
      </c>
      <c r="H132" s="40">
        <v>4</v>
      </c>
      <c r="I132" s="40">
        <v>4</v>
      </c>
      <c r="J132" s="40">
        <v>4</v>
      </c>
      <c r="L132" s="46">
        <v>24</v>
      </c>
      <c r="M132" s="40">
        <v>4.5</v>
      </c>
      <c r="N132" s="40">
        <v>9</v>
      </c>
      <c r="O132" s="40">
        <v>2.5</v>
      </c>
      <c r="P132" s="40">
        <v>4.5</v>
      </c>
      <c r="Q132" s="40">
        <v>2.5</v>
      </c>
      <c r="R132" s="40">
        <v>1</v>
      </c>
      <c r="S132" s="40">
        <v>7</v>
      </c>
      <c r="T132" s="40">
        <v>7</v>
      </c>
      <c r="U132" s="40">
        <v>7</v>
      </c>
      <c r="V132" s="1">
        <f t="shared" si="15"/>
        <v>45</v>
      </c>
      <c r="Z132" s="1" t="str">
        <f>Z117</f>
        <v>T3P1 (siwalan 90%; nanas 10% dan kosentrasi putih telur 5%)</v>
      </c>
      <c r="AA132" s="6">
        <f>AA117</f>
        <v>3.8</v>
      </c>
      <c r="AB132" s="1">
        <f>AB117</f>
        <v>162</v>
      </c>
      <c r="AD132" s="1" t="s">
        <v>136</v>
      </c>
    </row>
    <row r="133" spans="1:30" x14ac:dyDescent="0.25">
      <c r="A133" s="46">
        <v>25</v>
      </c>
      <c r="B133" s="40">
        <v>4</v>
      </c>
      <c r="C133" s="40">
        <v>4</v>
      </c>
      <c r="D133" s="40">
        <v>5</v>
      </c>
      <c r="E133" s="40">
        <v>4</v>
      </c>
      <c r="F133" s="40">
        <v>4</v>
      </c>
      <c r="G133" s="40">
        <v>5</v>
      </c>
      <c r="H133" s="40">
        <v>5</v>
      </c>
      <c r="I133" s="40">
        <v>5</v>
      </c>
      <c r="J133" s="40">
        <v>5</v>
      </c>
      <c r="L133" s="46">
        <v>25</v>
      </c>
      <c r="M133" s="40">
        <v>2.5</v>
      </c>
      <c r="N133" s="40">
        <v>2.5</v>
      </c>
      <c r="O133" s="40">
        <v>7</v>
      </c>
      <c r="P133" s="40">
        <v>2.5</v>
      </c>
      <c r="Q133" s="40">
        <v>2.5</v>
      </c>
      <c r="R133" s="40">
        <v>7</v>
      </c>
      <c r="S133" s="40">
        <v>7</v>
      </c>
      <c r="T133" s="40">
        <v>7</v>
      </c>
      <c r="U133" s="40">
        <v>7</v>
      </c>
      <c r="V133" s="1">
        <f t="shared" si="15"/>
        <v>45</v>
      </c>
      <c r="Z133" s="1" t="str">
        <f>Z116</f>
        <v>T2P1 (siwalan 70%; nanas 30% dan kosentrasi putih telur 5%)</v>
      </c>
      <c r="AA133" s="6">
        <f>AA116</f>
        <v>3.8333333333333335</v>
      </c>
      <c r="AB133" s="1">
        <f>AB116</f>
        <v>167.5</v>
      </c>
      <c r="AD133" s="1" t="s">
        <v>135</v>
      </c>
    </row>
    <row r="134" spans="1:30" x14ac:dyDescent="0.25">
      <c r="A134" s="46">
        <v>26</v>
      </c>
      <c r="B134" s="40">
        <v>5</v>
      </c>
      <c r="C134" s="40">
        <v>5</v>
      </c>
      <c r="D134" s="40">
        <v>5</v>
      </c>
      <c r="E134" s="40">
        <v>5</v>
      </c>
      <c r="F134" s="40">
        <v>5</v>
      </c>
      <c r="G134" s="40">
        <v>5</v>
      </c>
      <c r="H134" s="40">
        <v>5</v>
      </c>
      <c r="I134" s="40">
        <v>5</v>
      </c>
      <c r="J134" s="40">
        <v>5</v>
      </c>
      <c r="L134" s="46">
        <v>26</v>
      </c>
      <c r="M134" s="40">
        <v>5</v>
      </c>
      <c r="N134" s="40">
        <v>5</v>
      </c>
      <c r="O134" s="40">
        <v>5</v>
      </c>
      <c r="P134" s="40">
        <v>5</v>
      </c>
      <c r="Q134" s="40">
        <v>5</v>
      </c>
      <c r="R134" s="40">
        <v>5</v>
      </c>
      <c r="S134" s="40">
        <v>5</v>
      </c>
      <c r="T134" s="40">
        <v>5</v>
      </c>
      <c r="U134" s="40">
        <v>5</v>
      </c>
      <c r="V134" s="1">
        <f t="shared" si="15"/>
        <v>45</v>
      </c>
      <c r="Z134" s="1" t="str">
        <f>Z123</f>
        <v>T3P3 (siwalan 90%; nanas 10% dan kosentrasi putih telur 5%)</v>
      </c>
      <c r="AA134" s="6">
        <f>AA123</f>
        <v>2.8</v>
      </c>
      <c r="AB134" s="1">
        <f>AB123</f>
        <v>184</v>
      </c>
      <c r="AD134" s="1" t="s">
        <v>137</v>
      </c>
    </row>
    <row r="135" spans="1:30" x14ac:dyDescent="0.25">
      <c r="A135" s="46">
        <v>27</v>
      </c>
      <c r="B135" s="40">
        <v>4</v>
      </c>
      <c r="C135" s="40">
        <v>4</v>
      </c>
      <c r="D135" s="40">
        <v>4</v>
      </c>
      <c r="E135" s="40">
        <v>4</v>
      </c>
      <c r="F135" s="40">
        <v>4</v>
      </c>
      <c r="G135" s="40">
        <v>4</v>
      </c>
      <c r="H135" s="40">
        <v>4</v>
      </c>
      <c r="I135" s="40">
        <v>4</v>
      </c>
      <c r="J135" s="40">
        <v>4</v>
      </c>
      <c r="L135" s="46">
        <v>27</v>
      </c>
      <c r="M135" s="40">
        <v>5</v>
      </c>
      <c r="N135" s="40">
        <v>5</v>
      </c>
      <c r="O135" s="40">
        <v>5</v>
      </c>
      <c r="P135" s="40">
        <v>5</v>
      </c>
      <c r="Q135" s="40">
        <v>5</v>
      </c>
      <c r="R135" s="40">
        <v>5</v>
      </c>
      <c r="S135" s="40">
        <v>5</v>
      </c>
      <c r="T135" s="40">
        <v>5</v>
      </c>
      <c r="U135" s="40">
        <v>5</v>
      </c>
      <c r="V135" s="1">
        <f t="shared" si="15"/>
        <v>45</v>
      </c>
      <c r="Z135" s="1" t="str">
        <f>Z122</f>
        <v>T2P3 (siwalan 70%; nanas 30% dan kosentrasi putih telur 15%)</v>
      </c>
      <c r="AA135" s="6">
        <f>AA122</f>
        <v>2.9666666666666668</v>
      </c>
      <c r="AB135" s="1">
        <f>AB122</f>
        <v>184</v>
      </c>
      <c r="AD135" s="1" t="s">
        <v>137</v>
      </c>
    </row>
    <row r="136" spans="1:30" x14ac:dyDescent="0.25">
      <c r="A136" s="46">
        <v>28</v>
      </c>
      <c r="B136" s="40">
        <v>2</v>
      </c>
      <c r="C136" s="40">
        <v>4</v>
      </c>
      <c r="D136" s="40">
        <v>4</v>
      </c>
      <c r="E136" s="40">
        <v>2</v>
      </c>
      <c r="F136" s="40">
        <v>3</v>
      </c>
      <c r="G136" s="40">
        <v>3</v>
      </c>
      <c r="H136" s="40">
        <v>3</v>
      </c>
      <c r="I136" s="40">
        <v>3</v>
      </c>
      <c r="J136" s="40">
        <v>4</v>
      </c>
      <c r="L136" s="46">
        <v>28</v>
      </c>
      <c r="M136" s="40">
        <v>1.5</v>
      </c>
      <c r="N136" s="40">
        <v>8</v>
      </c>
      <c r="O136" s="40">
        <v>8</v>
      </c>
      <c r="P136" s="40">
        <v>1.5</v>
      </c>
      <c r="Q136" s="40">
        <v>4.5</v>
      </c>
      <c r="R136" s="40">
        <v>4.5</v>
      </c>
      <c r="S136" s="40">
        <v>4.5</v>
      </c>
      <c r="T136" s="40">
        <v>4.5</v>
      </c>
      <c r="U136" s="40">
        <v>8</v>
      </c>
      <c r="V136" s="1">
        <f t="shared" si="15"/>
        <v>45</v>
      </c>
    </row>
    <row r="137" spans="1:30" x14ac:dyDescent="0.25">
      <c r="A137" s="46">
        <v>29</v>
      </c>
      <c r="B137" s="40">
        <v>4</v>
      </c>
      <c r="C137" s="40">
        <v>1</v>
      </c>
      <c r="D137" s="40">
        <v>4</v>
      </c>
      <c r="E137" s="40">
        <v>4</v>
      </c>
      <c r="F137" s="40">
        <v>1</v>
      </c>
      <c r="G137" s="40">
        <v>1</v>
      </c>
      <c r="H137" s="40">
        <v>1</v>
      </c>
      <c r="I137" s="40">
        <v>4</v>
      </c>
      <c r="J137" s="40">
        <v>4</v>
      </c>
      <c r="L137" s="46">
        <v>29</v>
      </c>
      <c r="M137" s="40">
        <v>7</v>
      </c>
      <c r="N137" s="40">
        <v>2.5</v>
      </c>
      <c r="O137" s="40">
        <v>7</v>
      </c>
      <c r="P137" s="40">
        <v>7</v>
      </c>
      <c r="Q137" s="40">
        <v>2.5</v>
      </c>
      <c r="R137" s="40">
        <v>2.5</v>
      </c>
      <c r="S137" s="40">
        <v>2.5</v>
      </c>
      <c r="T137" s="40">
        <v>7</v>
      </c>
      <c r="U137" s="40">
        <v>7</v>
      </c>
      <c r="V137" s="1">
        <f t="shared" si="15"/>
        <v>45</v>
      </c>
    </row>
    <row r="138" spans="1:30" x14ac:dyDescent="0.25">
      <c r="A138" s="46">
        <v>30</v>
      </c>
      <c r="B138" s="40">
        <v>4</v>
      </c>
      <c r="C138" s="40">
        <v>4</v>
      </c>
      <c r="D138" s="40">
        <v>4</v>
      </c>
      <c r="E138" s="40">
        <v>4</v>
      </c>
      <c r="F138" s="40">
        <v>1</v>
      </c>
      <c r="G138" s="40">
        <v>1</v>
      </c>
      <c r="H138" s="40">
        <v>4</v>
      </c>
      <c r="I138" s="40">
        <v>4</v>
      </c>
      <c r="J138" s="40">
        <v>4</v>
      </c>
      <c r="L138" s="46">
        <v>30</v>
      </c>
      <c r="M138" s="40">
        <v>6</v>
      </c>
      <c r="N138" s="40">
        <v>6</v>
      </c>
      <c r="O138" s="40">
        <v>6</v>
      </c>
      <c r="P138" s="40">
        <v>6</v>
      </c>
      <c r="Q138" s="40">
        <v>1.5</v>
      </c>
      <c r="R138" s="40">
        <v>1.5</v>
      </c>
      <c r="S138" s="40">
        <v>6</v>
      </c>
      <c r="T138" s="40">
        <v>6</v>
      </c>
      <c r="U138" s="40">
        <v>6</v>
      </c>
      <c r="V138" s="1">
        <f t="shared" si="15"/>
        <v>45</v>
      </c>
    </row>
    <row r="139" spans="1:30" x14ac:dyDescent="0.25">
      <c r="A139" s="48" t="s">
        <v>68</v>
      </c>
      <c r="B139" s="39">
        <f>SUM(B109:B138)</f>
        <v>97</v>
      </c>
      <c r="C139" s="39">
        <f t="shared" ref="C139:J139" si="16">SUM(C109:C138)</f>
        <v>106</v>
      </c>
      <c r="D139" s="39">
        <f t="shared" si="16"/>
        <v>106</v>
      </c>
      <c r="E139" s="39">
        <f t="shared" si="16"/>
        <v>100</v>
      </c>
      <c r="F139" s="39">
        <f t="shared" si="16"/>
        <v>89</v>
      </c>
      <c r="G139" s="39">
        <f t="shared" si="16"/>
        <v>84</v>
      </c>
      <c r="H139" s="39">
        <f t="shared" si="16"/>
        <v>82</v>
      </c>
      <c r="I139" s="39">
        <f t="shared" si="16"/>
        <v>115</v>
      </c>
      <c r="J139" s="39">
        <f t="shared" si="16"/>
        <v>114</v>
      </c>
      <c r="L139" s="48" t="s">
        <v>68</v>
      </c>
      <c r="M139" s="39">
        <f>SUM(M109:M138)</f>
        <v>134.5</v>
      </c>
      <c r="N139" s="39">
        <f t="shared" ref="N139:U139" si="17">SUM(N109:N138)</f>
        <v>167.5</v>
      </c>
      <c r="O139" s="39">
        <f t="shared" si="17"/>
        <v>162</v>
      </c>
      <c r="P139" s="39">
        <f t="shared" si="17"/>
        <v>151.5</v>
      </c>
      <c r="Q139" s="39">
        <f t="shared" si="17"/>
        <v>128</v>
      </c>
      <c r="R139" s="39">
        <f t="shared" si="17"/>
        <v>122</v>
      </c>
      <c r="S139" s="39">
        <f t="shared" si="17"/>
        <v>114.5</v>
      </c>
      <c r="T139" s="39">
        <f t="shared" si="17"/>
        <v>184</v>
      </c>
      <c r="U139" s="39">
        <f t="shared" si="17"/>
        <v>184</v>
      </c>
    </row>
    <row r="140" spans="1:30" x14ac:dyDescent="0.25">
      <c r="A140" s="47" t="s">
        <v>69</v>
      </c>
      <c r="B140" s="45">
        <f>AVERAGE(B109:B138)</f>
        <v>3.2333333333333334</v>
      </c>
      <c r="C140" s="45">
        <f t="shared" ref="C140:J140" si="18">AVERAGE(C109:C138)</f>
        <v>3.5333333333333332</v>
      </c>
      <c r="D140" s="45">
        <f t="shared" si="18"/>
        <v>3.5333333333333332</v>
      </c>
      <c r="E140" s="45">
        <f t="shared" si="18"/>
        <v>3.3333333333333335</v>
      </c>
      <c r="F140" s="45">
        <f t="shared" si="18"/>
        <v>2.9666666666666668</v>
      </c>
      <c r="G140" s="45">
        <f t="shared" si="18"/>
        <v>2.8</v>
      </c>
      <c r="H140" s="45">
        <f t="shared" si="18"/>
        <v>2.7333333333333334</v>
      </c>
      <c r="I140" s="45">
        <f t="shared" si="18"/>
        <v>3.8333333333333335</v>
      </c>
      <c r="J140" s="45">
        <f t="shared" si="18"/>
        <v>3.8</v>
      </c>
      <c r="L140" s="47" t="s">
        <v>69</v>
      </c>
      <c r="M140" s="45">
        <f>AVERAGE(M109:M138)</f>
        <v>4.4833333333333334</v>
      </c>
      <c r="N140" s="45">
        <f t="shared" ref="N140:U140" si="19">AVERAGE(N109:N138)</f>
        <v>5.583333333333333</v>
      </c>
      <c r="O140" s="45">
        <f t="shared" si="19"/>
        <v>5.4</v>
      </c>
      <c r="P140" s="45">
        <f t="shared" si="19"/>
        <v>5.05</v>
      </c>
      <c r="Q140" s="45">
        <f t="shared" si="19"/>
        <v>4.2666666666666666</v>
      </c>
      <c r="R140" s="45">
        <f t="shared" si="19"/>
        <v>4.0666666666666664</v>
      </c>
      <c r="S140" s="45">
        <f t="shared" si="19"/>
        <v>3.8166666666666669</v>
      </c>
      <c r="T140" s="45">
        <f t="shared" si="19"/>
        <v>6.1333333333333337</v>
      </c>
      <c r="U140" s="45">
        <f t="shared" si="19"/>
        <v>6.1333333333333337</v>
      </c>
    </row>
  </sheetData>
  <mergeCells count="20">
    <mergeCell ref="A2:A3"/>
    <mergeCell ref="B2:J2"/>
    <mergeCell ref="L2:L3"/>
    <mergeCell ref="M2:U2"/>
    <mergeCell ref="A37:A38"/>
    <mergeCell ref="B37:J37"/>
    <mergeCell ref="L37:L38"/>
    <mergeCell ref="M37:U37"/>
    <mergeCell ref="AA18:AB18"/>
    <mergeCell ref="AA54:AB54"/>
    <mergeCell ref="AA89:AB89"/>
    <mergeCell ref="A72:A73"/>
    <mergeCell ref="B72:J72"/>
    <mergeCell ref="L72:L73"/>
    <mergeCell ref="M72:U72"/>
    <mergeCell ref="A107:A108"/>
    <mergeCell ref="B107:J107"/>
    <mergeCell ref="L107:L108"/>
    <mergeCell ref="M107:U107"/>
    <mergeCell ref="AA124:AC12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RENDEMEN</vt:lpstr>
      <vt:lpstr>VIT C</vt:lpstr>
      <vt:lpstr>KADAR AIR</vt:lpstr>
      <vt:lpstr>KELARUTAN</vt:lpstr>
      <vt:lpstr>WARNA L</vt:lpstr>
      <vt:lpstr>WARNA A</vt:lpstr>
      <vt:lpstr>WARNA B</vt:lpstr>
      <vt:lpstr>ANTIOKSIDAN</vt:lpstr>
      <vt:lpstr>ORGANOLEPTIK</vt:lpstr>
      <vt:lpstr>RENDEMEN 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Samsung</cp:lastModifiedBy>
  <dcterms:created xsi:type="dcterms:W3CDTF">2023-11-30T14:47:18Z</dcterms:created>
  <dcterms:modified xsi:type="dcterms:W3CDTF">2024-04-26T12:53:53Z</dcterms:modified>
</cp:coreProperties>
</file>